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916"/>
  </bookViews>
  <sheets>
    <sheet name="Assumptions &amp; Costs" sheetId="37" r:id="rId1"/>
    <sheet name="Nursery" sheetId="34" r:id="rId2"/>
    <sheet name="Inputs Field" sheetId="5" r:id="rId3"/>
    <sheet name="Inputs General" sheetId="4" r:id="rId4"/>
    <sheet name="Summary" sheetId="18" r:id="rId5"/>
    <sheet name="KPI" sheetId="24" r:id="rId6"/>
    <sheet name="ROI" sheetId="16" r:id="rId7"/>
    <sheet name="BS" sheetId="15" r:id="rId8"/>
    <sheet name="CF &amp; WC" sheetId="17" r:id="rId9"/>
    <sheet name="P&amp;L" sheetId="14" r:id="rId10"/>
    <sheet name="Total Revenue &amp; Costs" sheetId="10" r:id="rId11"/>
    <sheet name="Field Ops" sheetId="7" r:id="rId12"/>
    <sheet name="Finance" sheetId="12" r:id="rId13"/>
    <sheet name="BS (500Ha)" sheetId="33" r:id="rId14"/>
    <sheet name="CF &amp; WC (500Ha)" sheetId="32" r:id="rId15"/>
    <sheet name="P&amp;L (500Ha)" sheetId="30" r:id="rId16"/>
    <sheet name="Total Revenue &amp; Costs (500Ha)" sheetId="29" r:id="rId17"/>
    <sheet name="Field Ops (500Ha)" sheetId="28" r:id="rId18"/>
    <sheet name="Finance (500Ha)" sheetId="31" r:id="rId19"/>
    <sheet name="Charts" sheetId="38" r:id="rId20"/>
  </sheets>
  <externalReferences>
    <externalReference r:id="rId21"/>
  </externalReferences>
  <definedNames>
    <definedName name="Company">[1]Constants!$B$4</definedName>
    <definedName name="Discount_Rate">ROI!$D$7</definedName>
    <definedName name="Exit_multiple">[1]Assumptions!$B$104</definedName>
    <definedName name="Start_Year">[1]Constants!$B$5</definedName>
    <definedName name="Terms">[1]Constants!$C$6</definedName>
    <definedName name="Units">[1]Constants!$B$12</definedName>
  </definedNames>
  <calcPr calcId="145621" calcMode="autoNoTable" iterate="1" iterateCount="1000"/>
  <fileRecoveryPr repairLoad="1"/>
</workbook>
</file>

<file path=xl/calcChain.xml><?xml version="1.0" encoding="utf-8"?>
<calcChain xmlns="http://schemas.openxmlformats.org/spreadsheetml/2006/main">
  <c r="C10" i="12" l="1"/>
  <c r="I121" i="37" l="1"/>
  <c r="H121" i="37"/>
  <c r="F121" i="37"/>
  <c r="E121" i="37"/>
  <c r="AE14" i="30" l="1"/>
  <c r="I29" i="38" l="1"/>
  <c r="I32" i="38" s="1"/>
  <c r="H29" i="38"/>
  <c r="H32" i="38" s="1"/>
  <c r="G29" i="38"/>
  <c r="G32" i="38" s="1"/>
  <c r="F29" i="38"/>
  <c r="F32" i="38" s="1"/>
  <c r="E29" i="38"/>
  <c r="E32" i="38" s="1"/>
  <c r="D29" i="38"/>
  <c r="D32" i="38" s="1"/>
  <c r="C29" i="38"/>
  <c r="C32" i="38" s="1"/>
  <c r="C31" i="38"/>
  <c r="I121" i="4" l="1"/>
  <c r="H121" i="4"/>
  <c r="G121" i="4"/>
  <c r="F121" i="4"/>
  <c r="E121" i="4"/>
  <c r="I122" i="37"/>
  <c r="H122" i="37"/>
  <c r="G122" i="37"/>
  <c r="F122" i="37"/>
  <c r="E122" i="37"/>
  <c r="D3" i="38"/>
  <c r="E3" i="38" l="1"/>
  <c r="D31" i="38"/>
  <c r="H136" i="5"/>
  <c r="H115" i="5"/>
  <c r="H94" i="5"/>
  <c r="H74" i="5"/>
  <c r="H70" i="5"/>
  <c r="H50" i="5"/>
  <c r="H46" i="5"/>
  <c r="H45" i="5"/>
  <c r="E5" i="10"/>
  <c r="F5" i="10"/>
  <c r="G5" i="10"/>
  <c r="H5" i="10"/>
  <c r="E119" i="37"/>
  <c r="F3" i="38" l="1"/>
  <c r="E31" i="38"/>
  <c r="C41" i="30"/>
  <c r="C41" i="14"/>
  <c r="G3" i="38" l="1"/>
  <c r="F31" i="38"/>
  <c r="I118" i="37"/>
  <c r="H118" i="37"/>
  <c r="F118" i="37"/>
  <c r="E118" i="37"/>
  <c r="G118" i="37"/>
  <c r="G121" i="37" s="1"/>
  <c r="H3" i="38" l="1"/>
  <c r="G31" i="38"/>
  <c r="E227" i="28"/>
  <c r="E227" i="7"/>
  <c r="G219" i="28"/>
  <c r="I218" i="28"/>
  <c r="H218" i="28"/>
  <c r="G218" i="28"/>
  <c r="C109" i="28"/>
  <c r="C109" i="7"/>
  <c r="C70" i="28"/>
  <c r="C68" i="28"/>
  <c r="E68" i="28" s="1"/>
  <c r="I218" i="7"/>
  <c r="H218" i="7"/>
  <c r="G219" i="7"/>
  <c r="G218" i="7"/>
  <c r="I27" i="5"/>
  <c r="H27" i="5"/>
  <c r="G27" i="5"/>
  <c r="F27" i="5"/>
  <c r="G13" i="28"/>
  <c r="C70" i="7"/>
  <c r="C68" i="7"/>
  <c r="H43" i="5"/>
  <c r="I3" i="38" l="1"/>
  <c r="H31" i="38"/>
  <c r="W13" i="12"/>
  <c r="V13" i="12"/>
  <c r="U13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E11" i="12"/>
  <c r="D11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F11" i="12"/>
  <c r="G11" i="12"/>
  <c r="H11" i="12"/>
  <c r="I11" i="12"/>
  <c r="J11" i="12"/>
  <c r="L13" i="12"/>
  <c r="J57" i="34"/>
  <c r="J59" i="34"/>
  <c r="J58" i="34"/>
  <c r="C27" i="5"/>
  <c r="D27" i="5"/>
  <c r="E27" i="5"/>
  <c r="G15" i="34"/>
  <c r="G16" i="34" s="1"/>
  <c r="G17" i="34" s="1"/>
  <c r="J3" i="38" l="1"/>
  <c r="I31" i="38"/>
  <c r="C11" i="12"/>
  <c r="G19" i="34"/>
  <c r="G20" i="34" s="1"/>
  <c r="C10" i="31"/>
  <c r="C9" i="12"/>
  <c r="F26" i="4"/>
  <c r="G26" i="4" s="1"/>
  <c r="H26" i="4" s="1"/>
  <c r="I26" i="4" s="1"/>
  <c r="J26" i="4" s="1"/>
  <c r="K26" i="4" s="1"/>
  <c r="L26" i="4" s="1"/>
  <c r="M26" i="4" s="1"/>
  <c r="N26" i="4" s="1"/>
  <c r="O26" i="4" s="1"/>
  <c r="E26" i="4"/>
  <c r="I212" i="28"/>
  <c r="H212" i="28"/>
  <c r="G212" i="28"/>
  <c r="F212" i="28"/>
  <c r="I212" i="7"/>
  <c r="H212" i="7"/>
  <c r="G212" i="7"/>
  <c r="F212" i="7"/>
  <c r="F100" i="31"/>
  <c r="E100" i="31"/>
  <c r="D100" i="31"/>
  <c r="D101" i="12"/>
  <c r="K3" i="38" l="1"/>
  <c r="J31" i="38"/>
  <c r="G22" i="34"/>
  <c r="G23" i="34" s="1"/>
  <c r="I21" i="28"/>
  <c r="G21" i="28"/>
  <c r="J21" i="7"/>
  <c r="I21" i="7"/>
  <c r="G21" i="7"/>
  <c r="H21" i="7"/>
  <c r="J21" i="28"/>
  <c r="K21" i="7"/>
  <c r="L3" i="38" l="1"/>
  <c r="K31" i="38"/>
  <c r="K21" i="28"/>
  <c r="H21" i="28"/>
  <c r="D63" i="37"/>
  <c r="C71" i="37" s="1"/>
  <c r="D22" i="37"/>
  <c r="D21" i="37"/>
  <c r="D20" i="37"/>
  <c r="D19" i="37"/>
  <c r="D18" i="37"/>
  <c r="D17" i="37"/>
  <c r="D16" i="37"/>
  <c r="D15" i="37"/>
  <c r="L27" i="5" s="1"/>
  <c r="D14" i="37"/>
  <c r="K27" i="5" s="1"/>
  <c r="D13" i="37"/>
  <c r="J27" i="5" s="1"/>
  <c r="M3" i="38" l="1"/>
  <c r="L31" i="38"/>
  <c r="M27" i="5"/>
  <c r="N27" i="5" s="1"/>
  <c r="O27" i="5" s="1"/>
  <c r="P27" i="5" s="1"/>
  <c r="Q27" i="5" s="1"/>
  <c r="R27" i="5" s="1"/>
  <c r="S27" i="5" s="1"/>
  <c r="T27" i="5" s="1"/>
  <c r="U27" i="5" s="1"/>
  <c r="V27" i="5" s="1"/>
  <c r="W27" i="5" s="1"/>
  <c r="X27" i="5" s="1"/>
  <c r="Y27" i="5" s="1"/>
  <c r="Z27" i="5" s="1"/>
  <c r="AA27" i="5" s="1"/>
  <c r="AB27" i="5" s="1"/>
  <c r="C68" i="37"/>
  <c r="C70" i="37"/>
  <c r="C67" i="37"/>
  <c r="C69" i="37"/>
  <c r="C24" i="29"/>
  <c r="C23" i="29"/>
  <c r="C24" i="10"/>
  <c r="C23" i="10"/>
  <c r="N3" i="38" l="1"/>
  <c r="M31" i="38"/>
  <c r="C197" i="28"/>
  <c r="D196" i="28"/>
  <c r="E194" i="28"/>
  <c r="D193" i="28"/>
  <c r="C193" i="28"/>
  <c r="D192" i="28"/>
  <c r="C192" i="28"/>
  <c r="D191" i="28"/>
  <c r="C191" i="28"/>
  <c r="C189" i="28"/>
  <c r="C188" i="28"/>
  <c r="D187" i="28"/>
  <c r="C187" i="28"/>
  <c r="D186" i="28"/>
  <c r="C186" i="28"/>
  <c r="D185" i="28"/>
  <c r="C185" i="28"/>
  <c r="D184" i="28"/>
  <c r="C184" i="28"/>
  <c r="D183" i="28"/>
  <c r="C183" i="28"/>
  <c r="D182" i="28"/>
  <c r="C182" i="28"/>
  <c r="D181" i="28"/>
  <c r="C181" i="28"/>
  <c r="D180" i="28"/>
  <c r="C180" i="28"/>
  <c r="D179" i="28"/>
  <c r="C179" i="28"/>
  <c r="D178" i="28"/>
  <c r="C178" i="28"/>
  <c r="D177" i="28"/>
  <c r="C177" i="28"/>
  <c r="C168" i="28"/>
  <c r="D167" i="28"/>
  <c r="E165" i="28"/>
  <c r="D164" i="28"/>
  <c r="C164" i="28"/>
  <c r="D163" i="28"/>
  <c r="C163" i="28"/>
  <c r="C161" i="28"/>
  <c r="C160" i="28"/>
  <c r="D159" i="28"/>
  <c r="C159" i="28"/>
  <c r="D158" i="28"/>
  <c r="C158" i="28"/>
  <c r="D157" i="28"/>
  <c r="C157" i="28"/>
  <c r="D156" i="28"/>
  <c r="C156" i="28"/>
  <c r="D155" i="28"/>
  <c r="C155" i="28"/>
  <c r="D154" i="28"/>
  <c r="C154" i="28"/>
  <c r="D153" i="28"/>
  <c r="C153" i="28"/>
  <c r="D152" i="28"/>
  <c r="C152" i="28"/>
  <c r="D151" i="28"/>
  <c r="C151" i="28"/>
  <c r="C142" i="28"/>
  <c r="D141" i="28"/>
  <c r="E139" i="28"/>
  <c r="D138" i="28"/>
  <c r="C138" i="28"/>
  <c r="D137" i="28"/>
  <c r="C137" i="28"/>
  <c r="C135" i="28"/>
  <c r="C134" i="28"/>
  <c r="D133" i="28"/>
  <c r="C133" i="28"/>
  <c r="D132" i="28"/>
  <c r="C132" i="28"/>
  <c r="D131" i="28"/>
  <c r="C131" i="28"/>
  <c r="D130" i="28"/>
  <c r="C130" i="28"/>
  <c r="D129" i="28"/>
  <c r="C129" i="28"/>
  <c r="D128" i="28"/>
  <c r="C128" i="28"/>
  <c r="D127" i="28"/>
  <c r="C127" i="28"/>
  <c r="D126" i="28"/>
  <c r="C126" i="28"/>
  <c r="C117" i="28"/>
  <c r="D116" i="28"/>
  <c r="D115" i="28"/>
  <c r="E113" i="28"/>
  <c r="D112" i="28"/>
  <c r="C112" i="28"/>
  <c r="D111" i="28"/>
  <c r="C111" i="28"/>
  <c r="C110" i="28"/>
  <c r="C108" i="28"/>
  <c r="E108" i="28" s="1"/>
  <c r="C106" i="28"/>
  <c r="C105" i="28"/>
  <c r="D104" i="28"/>
  <c r="C104" i="28"/>
  <c r="D103" i="28"/>
  <c r="C103" i="28"/>
  <c r="D102" i="28"/>
  <c r="C102" i="28"/>
  <c r="D101" i="28"/>
  <c r="C101" i="28"/>
  <c r="D100" i="28"/>
  <c r="C100" i="28"/>
  <c r="D99" i="28"/>
  <c r="C99" i="28"/>
  <c r="D98" i="28"/>
  <c r="C98" i="28"/>
  <c r="D97" i="28"/>
  <c r="C97" i="28"/>
  <c r="D96" i="28"/>
  <c r="C96" i="28"/>
  <c r="D95" i="28"/>
  <c r="C95" i="28"/>
  <c r="D94" i="28"/>
  <c r="C94" i="28"/>
  <c r="C85" i="28"/>
  <c r="D84" i="28"/>
  <c r="D83" i="28"/>
  <c r="D82" i="28"/>
  <c r="D81" i="28"/>
  <c r="D80" i="28"/>
  <c r="D79" i="28"/>
  <c r="D78" i="28"/>
  <c r="E76" i="28"/>
  <c r="D75" i="28"/>
  <c r="C75" i="28"/>
  <c r="D74" i="28"/>
  <c r="C74" i="28"/>
  <c r="C73" i="28"/>
  <c r="C72" i="28"/>
  <c r="C71" i="28"/>
  <c r="E71" i="28" s="1"/>
  <c r="D69" i="28"/>
  <c r="C69" i="28"/>
  <c r="C66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C41" i="28"/>
  <c r="G41" i="28" s="1"/>
  <c r="C24" i="28"/>
  <c r="C25" i="28" s="1"/>
  <c r="C26" i="28" s="1"/>
  <c r="C27" i="28" s="1"/>
  <c r="C28" i="28" s="1"/>
  <c r="C29" i="28" s="1"/>
  <c r="C30" i="28" s="1"/>
  <c r="C31" i="28" s="1"/>
  <c r="C32" i="28" s="1"/>
  <c r="H15" i="28"/>
  <c r="I15" i="28" s="1"/>
  <c r="J15" i="28" s="1"/>
  <c r="K15" i="28" s="1"/>
  <c r="L15" i="28" s="1"/>
  <c r="M15" i="28" s="1"/>
  <c r="N15" i="28" s="1"/>
  <c r="O15" i="28" s="1"/>
  <c r="P15" i="28" s="1"/>
  <c r="Q15" i="28" s="1"/>
  <c r="R15" i="28" s="1"/>
  <c r="S15" i="28" s="1"/>
  <c r="T15" i="28" s="1"/>
  <c r="U15" i="28" s="1"/>
  <c r="V15" i="28" s="1"/>
  <c r="W15" i="28" s="1"/>
  <c r="X15" i="28" s="1"/>
  <c r="Y15" i="28" s="1"/>
  <c r="F15" i="28"/>
  <c r="H14" i="28"/>
  <c r="I14" i="28" s="1"/>
  <c r="J14" i="28" s="1"/>
  <c r="K14" i="28" s="1"/>
  <c r="L14" i="28" s="1"/>
  <c r="M14" i="28" s="1"/>
  <c r="N14" i="28" s="1"/>
  <c r="O14" i="28" s="1"/>
  <c r="P14" i="28" s="1"/>
  <c r="Q14" i="28" s="1"/>
  <c r="R14" i="28" s="1"/>
  <c r="S14" i="28" s="1"/>
  <c r="T14" i="28" s="1"/>
  <c r="U14" i="28" s="1"/>
  <c r="V14" i="28" s="1"/>
  <c r="W14" i="28" s="1"/>
  <c r="X14" i="28" s="1"/>
  <c r="Y14" i="28" s="1"/>
  <c r="F14" i="28"/>
  <c r="H13" i="28"/>
  <c r="I13" i="28" s="1"/>
  <c r="J13" i="28" s="1"/>
  <c r="K13" i="28" s="1"/>
  <c r="L13" i="28" s="1"/>
  <c r="M13" i="28" s="1"/>
  <c r="N13" i="28" s="1"/>
  <c r="O13" i="28" s="1"/>
  <c r="P13" i="28" s="1"/>
  <c r="Q13" i="28" s="1"/>
  <c r="R13" i="28" s="1"/>
  <c r="S13" i="28" s="1"/>
  <c r="T13" i="28" s="1"/>
  <c r="U13" i="28" s="1"/>
  <c r="V13" i="28" s="1"/>
  <c r="W13" i="28" s="1"/>
  <c r="X13" i="28" s="1"/>
  <c r="Y13" i="28" s="1"/>
  <c r="F13" i="28"/>
  <c r="H12" i="28"/>
  <c r="I12" i="28" s="1"/>
  <c r="J12" i="28" s="1"/>
  <c r="K12" i="28" s="1"/>
  <c r="L12" i="28" s="1"/>
  <c r="M12" i="28" s="1"/>
  <c r="N12" i="28" s="1"/>
  <c r="O12" i="28" s="1"/>
  <c r="P12" i="28" s="1"/>
  <c r="Q12" i="28" s="1"/>
  <c r="R12" i="28" s="1"/>
  <c r="S12" i="28" s="1"/>
  <c r="T12" i="28" s="1"/>
  <c r="U12" i="28" s="1"/>
  <c r="V12" i="28" s="1"/>
  <c r="W12" i="28" s="1"/>
  <c r="X12" i="28" s="1"/>
  <c r="Y12" i="28" s="1"/>
  <c r="F12" i="28"/>
  <c r="H11" i="28"/>
  <c r="I11" i="28" s="1"/>
  <c r="J11" i="28" s="1"/>
  <c r="K11" i="28" s="1"/>
  <c r="L11" i="28" s="1"/>
  <c r="M11" i="28" s="1"/>
  <c r="N11" i="28" s="1"/>
  <c r="O11" i="28" s="1"/>
  <c r="P11" i="28" s="1"/>
  <c r="Q11" i="28" s="1"/>
  <c r="R11" i="28" s="1"/>
  <c r="S11" i="28" s="1"/>
  <c r="T11" i="28" s="1"/>
  <c r="U11" i="28" s="1"/>
  <c r="V11" i="28" s="1"/>
  <c r="W11" i="28" s="1"/>
  <c r="X11" i="28" s="1"/>
  <c r="Y11" i="28" s="1"/>
  <c r="F11" i="28"/>
  <c r="C11" i="28"/>
  <c r="C12" i="28" s="1"/>
  <c r="C13" i="28" s="1"/>
  <c r="C14" i="28" s="1"/>
  <c r="C15" i="28" s="1"/>
  <c r="F10" i="28"/>
  <c r="G4" i="28"/>
  <c r="C72" i="37"/>
  <c r="E73" i="34" s="1"/>
  <c r="Q21" i="28"/>
  <c r="P21" i="28"/>
  <c r="O21" i="28"/>
  <c r="N21" i="28"/>
  <c r="D155" i="7"/>
  <c r="C155" i="7"/>
  <c r="D84" i="7"/>
  <c r="D83" i="7"/>
  <c r="D82" i="7"/>
  <c r="D81" i="7"/>
  <c r="D80" i="7"/>
  <c r="D79" i="7"/>
  <c r="D78" i="7"/>
  <c r="C73" i="7"/>
  <c r="C71" i="7"/>
  <c r="E68" i="7"/>
  <c r="E112" i="37"/>
  <c r="D58" i="37"/>
  <c r="C42" i="28" s="1"/>
  <c r="E113" i="37"/>
  <c r="E110" i="37"/>
  <c r="D88" i="37"/>
  <c r="D87" i="37"/>
  <c r="D86" i="37"/>
  <c r="D85" i="37"/>
  <c r="D84" i="37"/>
  <c r="E79" i="37"/>
  <c r="G52" i="37"/>
  <c r="H52" i="37" s="1"/>
  <c r="I51" i="37"/>
  <c r="F51" i="37"/>
  <c r="I50" i="37"/>
  <c r="F50" i="37"/>
  <c r="I49" i="37"/>
  <c r="F49" i="37"/>
  <c r="G49" i="37" s="1"/>
  <c r="I48" i="37"/>
  <c r="F48" i="37"/>
  <c r="I47" i="37"/>
  <c r="F47" i="37"/>
  <c r="I46" i="37"/>
  <c r="F46" i="37"/>
  <c r="I45" i="37"/>
  <c r="F45" i="37"/>
  <c r="G45" i="37" s="1"/>
  <c r="I44" i="37"/>
  <c r="F44" i="37"/>
  <c r="I43" i="37"/>
  <c r="F43" i="37"/>
  <c r="I42" i="37"/>
  <c r="F42" i="37"/>
  <c r="I41" i="37"/>
  <c r="F41" i="37"/>
  <c r="G41" i="37" s="1"/>
  <c r="I40" i="37"/>
  <c r="F40" i="37"/>
  <c r="I39" i="37"/>
  <c r="F39" i="37"/>
  <c r="I38" i="37"/>
  <c r="F38" i="37"/>
  <c r="I37" i="37"/>
  <c r="F37" i="37"/>
  <c r="G37" i="37" s="1"/>
  <c r="I36" i="37"/>
  <c r="F36" i="37"/>
  <c r="I35" i="37"/>
  <c r="F35" i="37"/>
  <c r="I34" i="37"/>
  <c r="F34" i="37"/>
  <c r="I33" i="37"/>
  <c r="F33" i="37"/>
  <c r="G33" i="37" s="1"/>
  <c r="I32" i="37"/>
  <c r="F32" i="37"/>
  <c r="I31" i="37"/>
  <c r="F31" i="37"/>
  <c r="I30" i="37"/>
  <c r="F30" i="37"/>
  <c r="D33" i="34"/>
  <c r="I43" i="34" s="1"/>
  <c r="C15" i="34"/>
  <c r="C16" i="34" s="1"/>
  <c r="O3" i="38" l="1"/>
  <c r="N31" i="38"/>
  <c r="E73" i="7"/>
  <c r="E82" i="28"/>
  <c r="F82" i="28" s="1"/>
  <c r="E78" i="28"/>
  <c r="E167" i="28"/>
  <c r="E193" i="28"/>
  <c r="E79" i="28"/>
  <c r="E83" i="28"/>
  <c r="E196" i="28"/>
  <c r="J196" i="28" s="1"/>
  <c r="E74" i="34"/>
  <c r="E116" i="28"/>
  <c r="G116" i="28" s="1"/>
  <c r="E141" i="28"/>
  <c r="E80" i="28"/>
  <c r="E81" i="28"/>
  <c r="E84" i="28"/>
  <c r="F84" i="28" s="1"/>
  <c r="E115" i="28"/>
  <c r="L21" i="7"/>
  <c r="L21" i="28"/>
  <c r="M21" i="7"/>
  <c r="M21" i="28"/>
  <c r="C17" i="34"/>
  <c r="C19" i="34" s="1"/>
  <c r="C20" i="34" s="1"/>
  <c r="C22" i="34" s="1"/>
  <c r="C23" i="34" s="1"/>
  <c r="C24" i="34" s="1"/>
  <c r="E69" i="28"/>
  <c r="E74" i="28"/>
  <c r="E106" i="28"/>
  <c r="E95" i="28"/>
  <c r="G95" i="28" s="1"/>
  <c r="E96" i="28"/>
  <c r="E97" i="28"/>
  <c r="G97" i="28" s="1"/>
  <c r="E98" i="28"/>
  <c r="E99" i="28"/>
  <c r="G99" i="28" s="1"/>
  <c r="E100" i="28"/>
  <c r="E101" i="28"/>
  <c r="G101" i="28" s="1"/>
  <c r="E102" i="28"/>
  <c r="E103" i="28"/>
  <c r="G103" i="28" s="1"/>
  <c r="E104" i="28"/>
  <c r="E127" i="28"/>
  <c r="H127" i="28" s="1"/>
  <c r="E128" i="28"/>
  <c r="E130" i="28"/>
  <c r="E131" i="28"/>
  <c r="E132" i="28"/>
  <c r="E137" i="28"/>
  <c r="E138" i="28"/>
  <c r="E152" i="28"/>
  <c r="E154" i="28"/>
  <c r="I154" i="28" s="1"/>
  <c r="E156" i="28"/>
  <c r="E158" i="28"/>
  <c r="I158" i="28" s="1"/>
  <c r="E163" i="28"/>
  <c r="E164" i="28"/>
  <c r="E111" i="28"/>
  <c r="E112" i="28"/>
  <c r="E110" i="28"/>
  <c r="H4" i="28"/>
  <c r="I4" i="28" s="1"/>
  <c r="F41" i="28"/>
  <c r="E66" i="28"/>
  <c r="E52" i="28"/>
  <c r="E53" i="28"/>
  <c r="E54" i="28"/>
  <c r="E56" i="28"/>
  <c r="E57" i="28"/>
  <c r="E58" i="28"/>
  <c r="E60" i="28"/>
  <c r="E61" i="28"/>
  <c r="E62" i="28"/>
  <c r="E64" i="28"/>
  <c r="E105" i="28"/>
  <c r="E177" i="28"/>
  <c r="J177" i="28" s="1"/>
  <c r="E178" i="28"/>
  <c r="E181" i="28"/>
  <c r="J181" i="28" s="1"/>
  <c r="E182" i="28"/>
  <c r="E183" i="28"/>
  <c r="E185" i="28"/>
  <c r="E186" i="28"/>
  <c r="J186" i="28" s="1"/>
  <c r="E187" i="28"/>
  <c r="E192" i="28"/>
  <c r="J192" i="28" s="1"/>
  <c r="O21" i="7"/>
  <c r="R21" i="28"/>
  <c r="Q21" i="7"/>
  <c r="N21" i="7"/>
  <c r="P21" i="7"/>
  <c r="E189" i="28"/>
  <c r="J189" i="28" s="1"/>
  <c r="E50" i="28"/>
  <c r="E73" i="28"/>
  <c r="F17" i="28"/>
  <c r="F18" i="28" s="1"/>
  <c r="E51" i="28"/>
  <c r="E55" i="28"/>
  <c r="E59" i="28"/>
  <c r="E63" i="28"/>
  <c r="E65" i="28"/>
  <c r="F71" i="28"/>
  <c r="E72" i="28"/>
  <c r="E75" i="28"/>
  <c r="E135" i="28"/>
  <c r="E134" i="28"/>
  <c r="E126" i="28"/>
  <c r="E129" i="28"/>
  <c r="E133" i="28"/>
  <c r="E153" i="28"/>
  <c r="E155" i="28"/>
  <c r="E157" i="28"/>
  <c r="E159" i="28"/>
  <c r="E179" i="28"/>
  <c r="E188" i="28"/>
  <c r="E94" i="28"/>
  <c r="E160" i="28"/>
  <c r="E151" i="28"/>
  <c r="E161" i="28"/>
  <c r="E180" i="28"/>
  <c r="E184" i="28"/>
  <c r="E191" i="28"/>
  <c r="E155" i="7"/>
  <c r="G31" i="37"/>
  <c r="H31" i="37" s="1"/>
  <c r="J31" i="37" s="1"/>
  <c r="H33" i="37"/>
  <c r="J33" i="37" s="1"/>
  <c r="G35" i="37"/>
  <c r="H35" i="37" s="1"/>
  <c r="J35" i="37" s="1"/>
  <c r="H37" i="37"/>
  <c r="J37" i="37" s="1"/>
  <c r="G39" i="37"/>
  <c r="H39" i="37" s="1"/>
  <c r="J39" i="37" s="1"/>
  <c r="H41" i="37"/>
  <c r="J41" i="37" s="1"/>
  <c r="G43" i="37"/>
  <c r="H43" i="37" s="1"/>
  <c r="J43" i="37" s="1"/>
  <c r="H45" i="37"/>
  <c r="J45" i="37" s="1"/>
  <c r="G47" i="37"/>
  <c r="H47" i="37" s="1"/>
  <c r="J47" i="37" s="1"/>
  <c r="H49" i="37"/>
  <c r="J49" i="37" s="1"/>
  <c r="G51" i="37"/>
  <c r="H51" i="37" s="1"/>
  <c r="J51" i="37" s="1"/>
  <c r="G30" i="37"/>
  <c r="H30" i="37" s="1"/>
  <c r="J30" i="37" s="1"/>
  <c r="G32" i="37"/>
  <c r="H32" i="37" s="1"/>
  <c r="J32" i="37" s="1"/>
  <c r="G34" i="37"/>
  <c r="H34" i="37" s="1"/>
  <c r="J34" i="37" s="1"/>
  <c r="G36" i="37"/>
  <c r="H36" i="37" s="1"/>
  <c r="J36" i="37" s="1"/>
  <c r="G38" i="37"/>
  <c r="H38" i="37" s="1"/>
  <c r="J38" i="37" s="1"/>
  <c r="G40" i="37"/>
  <c r="H40" i="37" s="1"/>
  <c r="J40" i="37" s="1"/>
  <c r="G42" i="37"/>
  <c r="H42" i="37" s="1"/>
  <c r="J42" i="37" s="1"/>
  <c r="G44" i="37"/>
  <c r="H44" i="37" s="1"/>
  <c r="J44" i="37" s="1"/>
  <c r="G46" i="37"/>
  <c r="H46" i="37" s="1"/>
  <c r="J46" i="37" s="1"/>
  <c r="G48" i="37"/>
  <c r="H48" i="37" s="1"/>
  <c r="J48" i="37" s="1"/>
  <c r="G50" i="37"/>
  <c r="H50" i="37" s="1"/>
  <c r="J50" i="37" s="1"/>
  <c r="P3" i="38" l="1"/>
  <c r="O31" i="38"/>
  <c r="F68" i="28"/>
  <c r="I156" i="28"/>
  <c r="G100" i="28"/>
  <c r="J187" i="28"/>
  <c r="I152" i="28"/>
  <c r="G104" i="28"/>
  <c r="G102" i="28"/>
  <c r="G98" i="28"/>
  <c r="G96" i="28"/>
  <c r="G115" i="28"/>
  <c r="X37" i="28"/>
  <c r="X37" i="7"/>
  <c r="M37" i="28"/>
  <c r="M37" i="7"/>
  <c r="T37" i="28"/>
  <c r="T37" i="7"/>
  <c r="K37" i="28"/>
  <c r="K37" i="7"/>
  <c r="E171" i="28"/>
  <c r="H37" i="28"/>
  <c r="H37" i="7"/>
  <c r="I37" i="28"/>
  <c r="I37" i="7"/>
  <c r="Y37" i="28"/>
  <c r="Y37" i="7"/>
  <c r="P37" i="28"/>
  <c r="P37" i="7"/>
  <c r="V37" i="7"/>
  <c r="V37" i="28"/>
  <c r="R37" i="28"/>
  <c r="R37" i="7"/>
  <c r="W37" i="28"/>
  <c r="W37" i="7"/>
  <c r="N37" i="28"/>
  <c r="N37" i="7"/>
  <c r="U37" i="7"/>
  <c r="U37" i="28"/>
  <c r="L37" i="28"/>
  <c r="L37" i="7"/>
  <c r="S37" i="28"/>
  <c r="S37" i="7"/>
  <c r="Q37" i="7"/>
  <c r="Q37" i="28"/>
  <c r="J37" i="28"/>
  <c r="J37" i="7"/>
  <c r="O37" i="28"/>
  <c r="O37" i="7"/>
  <c r="F54" i="28"/>
  <c r="E145" i="28"/>
  <c r="H138" i="28"/>
  <c r="I164" i="28"/>
  <c r="J194" i="28"/>
  <c r="J185" i="28"/>
  <c r="J178" i="28"/>
  <c r="H139" i="28"/>
  <c r="G108" i="28"/>
  <c r="F83" i="28"/>
  <c r="F81" i="28"/>
  <c r="J182" i="28"/>
  <c r="I165" i="28"/>
  <c r="H141" i="28"/>
  <c r="H131" i="28"/>
  <c r="G106" i="28"/>
  <c r="H137" i="28"/>
  <c r="G105" i="28"/>
  <c r="F64" i="28"/>
  <c r="F56" i="28"/>
  <c r="J183" i="28"/>
  <c r="F61" i="28"/>
  <c r="F58" i="28"/>
  <c r="F66" i="28"/>
  <c r="H130" i="28"/>
  <c r="F78" i="28"/>
  <c r="F53" i="28"/>
  <c r="F60" i="28"/>
  <c r="F52" i="28"/>
  <c r="H132" i="28"/>
  <c r="H128" i="28"/>
  <c r="F80" i="28"/>
  <c r="F76" i="28"/>
  <c r="F62" i="28"/>
  <c r="S21" i="28"/>
  <c r="R21" i="7"/>
  <c r="J191" i="28"/>
  <c r="E200" i="28"/>
  <c r="J180" i="28"/>
  <c r="I161" i="28"/>
  <c r="I160" i="28"/>
  <c r="J179" i="28"/>
  <c r="E199" i="28"/>
  <c r="I157" i="28"/>
  <c r="I153" i="28"/>
  <c r="H129" i="28"/>
  <c r="H134" i="28"/>
  <c r="F72" i="28"/>
  <c r="F65" i="28"/>
  <c r="G17" i="28"/>
  <c r="H10" i="28"/>
  <c r="J193" i="28"/>
  <c r="J184" i="28"/>
  <c r="E170" i="28"/>
  <c r="I151" i="28"/>
  <c r="E168" i="28"/>
  <c r="E119" i="28"/>
  <c r="E117" i="28"/>
  <c r="G94" i="28"/>
  <c r="J188" i="28"/>
  <c r="E197" i="28"/>
  <c r="I159" i="28"/>
  <c r="I155" i="28"/>
  <c r="H133" i="28"/>
  <c r="E144" i="28"/>
  <c r="H126" i="28"/>
  <c r="E142" i="28"/>
  <c r="H135" i="28"/>
  <c r="F75" i="28"/>
  <c r="F63" i="28"/>
  <c r="F59" i="28"/>
  <c r="F55" i="28"/>
  <c r="F51" i="28"/>
  <c r="G113" i="28"/>
  <c r="P23" i="28"/>
  <c r="N23" i="28"/>
  <c r="L23" i="28"/>
  <c r="J23" i="28"/>
  <c r="H23" i="28"/>
  <c r="F23" i="28"/>
  <c r="F34" i="28" s="1"/>
  <c r="I167" i="28"/>
  <c r="G112" i="28"/>
  <c r="G111" i="28"/>
  <c r="G110" i="28"/>
  <c r="O23" i="28"/>
  <c r="K23" i="28"/>
  <c r="G23" i="28"/>
  <c r="F69" i="28"/>
  <c r="M23" i="28"/>
  <c r="I23" i="28"/>
  <c r="I163" i="28"/>
  <c r="F79" i="28"/>
  <c r="F57" i="28"/>
  <c r="E87" i="28"/>
  <c r="F50" i="28"/>
  <c r="E85" i="28"/>
  <c r="J4" i="28"/>
  <c r="F74" i="28"/>
  <c r="F119" i="37"/>
  <c r="E120" i="37"/>
  <c r="E123" i="37" s="1"/>
  <c r="C25" i="34"/>
  <c r="G18" i="28" l="1"/>
  <c r="J151" i="28" s="1"/>
  <c r="G224" i="28"/>
  <c r="G229" i="28" s="1"/>
  <c r="G223" i="28"/>
  <c r="G228" i="28" s="1"/>
  <c r="Q3" i="38"/>
  <c r="P31" i="38"/>
  <c r="J218" i="28"/>
  <c r="I171" i="28"/>
  <c r="H145" i="28"/>
  <c r="C26" i="34"/>
  <c r="F87" i="28"/>
  <c r="F205" i="28" s="1"/>
  <c r="G119" i="28"/>
  <c r="K24" i="28"/>
  <c r="H24" i="28"/>
  <c r="J199" i="28"/>
  <c r="T21" i="28"/>
  <c r="S21" i="7"/>
  <c r="Q23" i="28"/>
  <c r="K196" i="28"/>
  <c r="I135" i="28"/>
  <c r="H40" i="28"/>
  <c r="H219" i="28" s="1"/>
  <c r="H142" i="28"/>
  <c r="H146" i="28" s="1"/>
  <c r="E146" i="28"/>
  <c r="E147" i="28" s="1"/>
  <c r="G117" i="28"/>
  <c r="G121" i="28" s="1"/>
  <c r="E121" i="28"/>
  <c r="I168" i="28"/>
  <c r="I172" i="28" s="1"/>
  <c r="E172" i="28"/>
  <c r="E173" i="28" s="1"/>
  <c r="H108" i="28"/>
  <c r="G61" i="28"/>
  <c r="I128" i="28"/>
  <c r="G80" i="28"/>
  <c r="G82" i="28"/>
  <c r="J164" i="28"/>
  <c r="K182" i="28"/>
  <c r="K185" i="28"/>
  <c r="G52" i="28"/>
  <c r="G60" i="28"/>
  <c r="G69" i="28"/>
  <c r="G79" i="28"/>
  <c r="K189" i="28"/>
  <c r="K183" i="28"/>
  <c r="H97" i="28"/>
  <c r="H99" i="28"/>
  <c r="H100" i="28"/>
  <c r="H101" i="28"/>
  <c r="H116" i="28"/>
  <c r="I131" i="28"/>
  <c r="I138" i="28"/>
  <c r="J154" i="28"/>
  <c r="J158" i="28"/>
  <c r="K181" i="28"/>
  <c r="H111" i="28"/>
  <c r="H112" i="28"/>
  <c r="H115" i="28"/>
  <c r="K177" i="28"/>
  <c r="K186" i="28"/>
  <c r="H113" i="28"/>
  <c r="J167" i="28"/>
  <c r="I129" i="28"/>
  <c r="J153" i="28"/>
  <c r="K179" i="28"/>
  <c r="K180" i="28"/>
  <c r="K4" i="28"/>
  <c r="F85" i="28"/>
  <c r="F89" i="28" s="1"/>
  <c r="F207" i="28" s="1"/>
  <c r="G85" i="28"/>
  <c r="E89" i="28"/>
  <c r="F42" i="28"/>
  <c r="G51" i="28"/>
  <c r="G55" i="28"/>
  <c r="G59" i="28"/>
  <c r="G63" i="28"/>
  <c r="I126" i="28"/>
  <c r="H144" i="28"/>
  <c r="J197" i="28"/>
  <c r="J201" i="28" s="1"/>
  <c r="K197" i="28"/>
  <c r="E201" i="28"/>
  <c r="E202" i="28" s="1"/>
  <c r="K188" i="28"/>
  <c r="H94" i="28"/>
  <c r="I170" i="28"/>
  <c r="K184" i="28"/>
  <c r="K193" i="28"/>
  <c r="H17" i="28"/>
  <c r="I10" i="28"/>
  <c r="G65" i="28"/>
  <c r="G72" i="28"/>
  <c r="J157" i="28"/>
  <c r="J160" i="28"/>
  <c r="J161" i="28"/>
  <c r="J200" i="28"/>
  <c r="K191" i="28"/>
  <c r="F120" i="37"/>
  <c r="F123" i="37" s="1"/>
  <c r="G119" i="37"/>
  <c r="G56" i="28" l="1"/>
  <c r="J165" i="28"/>
  <c r="G81" i="28"/>
  <c r="H105" i="28"/>
  <c r="I139" i="28"/>
  <c r="I142" i="28"/>
  <c r="G75" i="28"/>
  <c r="L24" i="28"/>
  <c r="M24" i="28"/>
  <c r="P24" i="28"/>
  <c r="O24" i="28"/>
  <c r="G68" i="28"/>
  <c r="I127" i="28"/>
  <c r="H98" i="28"/>
  <c r="G76" i="28"/>
  <c r="G66" i="28"/>
  <c r="J156" i="28"/>
  <c r="G78" i="28"/>
  <c r="G53" i="28"/>
  <c r="J168" i="28"/>
  <c r="H224" i="28"/>
  <c r="H229" i="28" s="1"/>
  <c r="J159" i="28"/>
  <c r="J24" i="28"/>
  <c r="Q24" i="28"/>
  <c r="J152" i="28"/>
  <c r="J163" i="28"/>
  <c r="G74" i="28"/>
  <c r="I133" i="28"/>
  <c r="N24" i="28"/>
  <c r="S24" i="28"/>
  <c r="H18" i="28"/>
  <c r="T25" i="28" s="1"/>
  <c r="H223" i="28"/>
  <c r="H228" i="28" s="1"/>
  <c r="I134" i="28"/>
  <c r="H110" i="28"/>
  <c r="H104" i="28"/>
  <c r="H96" i="28"/>
  <c r="G71" i="28"/>
  <c r="K178" i="28"/>
  <c r="K218" i="28" s="1"/>
  <c r="H106" i="28"/>
  <c r="I137" i="28"/>
  <c r="G62" i="28"/>
  <c r="K194" i="28"/>
  <c r="R24" i="28"/>
  <c r="H103" i="28"/>
  <c r="H95" i="28"/>
  <c r="G57" i="28"/>
  <c r="I141" i="28"/>
  <c r="G84" i="28"/>
  <c r="I132" i="28"/>
  <c r="G58" i="28"/>
  <c r="H117" i="28"/>
  <c r="G50" i="28"/>
  <c r="G217" i="28" s="1"/>
  <c r="T24" i="28"/>
  <c r="G24" i="28"/>
  <c r="G34" i="28" s="1"/>
  <c r="H102" i="28"/>
  <c r="K187" i="28"/>
  <c r="G64" i="28"/>
  <c r="K192" i="28"/>
  <c r="G83" i="28"/>
  <c r="I130" i="28"/>
  <c r="G54" i="28"/>
  <c r="J155" i="28"/>
  <c r="J170" i="28" s="1"/>
  <c r="I24" i="28"/>
  <c r="R3" i="38"/>
  <c r="Q31" i="38"/>
  <c r="H68" i="28"/>
  <c r="K201" i="28"/>
  <c r="C27" i="34"/>
  <c r="C28" i="34" s="1"/>
  <c r="H121" i="28"/>
  <c r="I146" i="28"/>
  <c r="R25" i="28"/>
  <c r="P25" i="28"/>
  <c r="N25" i="28"/>
  <c r="L25" i="28"/>
  <c r="J25" i="28"/>
  <c r="J40" i="28" s="1"/>
  <c r="J219" i="28" s="1"/>
  <c r="U25" i="28"/>
  <c r="Q25" i="28"/>
  <c r="I25" i="28"/>
  <c r="H25" i="28"/>
  <c r="H34" i="28" s="1"/>
  <c r="S25" i="28"/>
  <c r="O25" i="28"/>
  <c r="K25" i="28"/>
  <c r="U21" i="28"/>
  <c r="U24" i="28" s="1"/>
  <c r="T21" i="7"/>
  <c r="J172" i="28"/>
  <c r="G87" i="28"/>
  <c r="G205" i="28" s="1"/>
  <c r="H119" i="28"/>
  <c r="G42" i="28"/>
  <c r="I113" i="28"/>
  <c r="H66" i="28"/>
  <c r="H52" i="28"/>
  <c r="H54" i="28"/>
  <c r="H56" i="28"/>
  <c r="H58" i="28"/>
  <c r="H60" i="28"/>
  <c r="H62" i="28"/>
  <c r="H64" i="28"/>
  <c r="H71" i="28"/>
  <c r="H76" i="28"/>
  <c r="H78" i="28"/>
  <c r="H80" i="28"/>
  <c r="I105" i="28"/>
  <c r="J128" i="28"/>
  <c r="J130" i="28"/>
  <c r="J132" i="28"/>
  <c r="J137" i="28"/>
  <c r="I116" i="28"/>
  <c r="K164" i="28"/>
  <c r="H82" i="28"/>
  <c r="H84" i="28"/>
  <c r="I95" i="28"/>
  <c r="I97" i="28"/>
  <c r="I99" i="28"/>
  <c r="I101" i="28"/>
  <c r="I103" i="28"/>
  <c r="I106" i="28"/>
  <c r="I110" i="28"/>
  <c r="I111" i="28"/>
  <c r="I112" i="28"/>
  <c r="J131" i="28"/>
  <c r="J139" i="28"/>
  <c r="K154" i="28"/>
  <c r="K158" i="28"/>
  <c r="K167" i="28"/>
  <c r="H74" i="28"/>
  <c r="H79" i="28"/>
  <c r="K163" i="28"/>
  <c r="H53" i="28"/>
  <c r="H57" i="28"/>
  <c r="H61" i="28"/>
  <c r="H69" i="28"/>
  <c r="I115" i="28"/>
  <c r="J141" i="28"/>
  <c r="K165" i="28"/>
  <c r="H81" i="28"/>
  <c r="H83" i="28"/>
  <c r="I96" i="28"/>
  <c r="I98" i="28"/>
  <c r="I100" i="28"/>
  <c r="I102" i="28"/>
  <c r="I104" i="28"/>
  <c r="I108" i="28"/>
  <c r="J127" i="28"/>
  <c r="J138" i="28"/>
  <c r="K152" i="28"/>
  <c r="K156" i="28"/>
  <c r="K153" i="28"/>
  <c r="J129" i="28"/>
  <c r="J134" i="28"/>
  <c r="K159" i="28"/>
  <c r="K155" i="28"/>
  <c r="J133" i="28"/>
  <c r="J135" i="28"/>
  <c r="H75" i="28"/>
  <c r="H63" i="28"/>
  <c r="H59" i="28"/>
  <c r="H55" i="28"/>
  <c r="H51" i="28"/>
  <c r="H50" i="28"/>
  <c r="K161" i="28"/>
  <c r="K160" i="28"/>
  <c r="K157" i="28"/>
  <c r="H72" i="28"/>
  <c r="H65" i="28"/>
  <c r="K151" i="28"/>
  <c r="I94" i="28"/>
  <c r="L188" i="28"/>
  <c r="J126" i="28"/>
  <c r="H147" i="28"/>
  <c r="H85" i="28"/>
  <c r="L180" i="28"/>
  <c r="L194" i="28"/>
  <c r="L186" i="28"/>
  <c r="K199" i="28"/>
  <c r="L181" i="28"/>
  <c r="L178" i="28"/>
  <c r="L182" i="28"/>
  <c r="G89" i="28"/>
  <c r="G207" i="28" s="1"/>
  <c r="I145" i="28"/>
  <c r="K168" i="28"/>
  <c r="J202" i="28"/>
  <c r="J212" i="28" s="1"/>
  <c r="J142" i="28"/>
  <c r="I40" i="28"/>
  <c r="I219" i="28" s="1"/>
  <c r="I224" i="28" s="1"/>
  <c r="I229" i="28" s="1"/>
  <c r="K200" i="28"/>
  <c r="L191" i="28"/>
  <c r="L179" i="28"/>
  <c r="J10" i="28"/>
  <c r="I17" i="28"/>
  <c r="L193" i="28"/>
  <c r="L184" i="28"/>
  <c r="I173" i="28"/>
  <c r="L197" i="28"/>
  <c r="I144" i="28"/>
  <c r="L4" i="28"/>
  <c r="L177" i="28"/>
  <c r="L192" i="28"/>
  <c r="L196" i="28"/>
  <c r="L185" i="28"/>
  <c r="L187" i="28"/>
  <c r="L183" i="28"/>
  <c r="L189" i="28"/>
  <c r="J171" i="28"/>
  <c r="I117" i="28"/>
  <c r="H41" i="28"/>
  <c r="H119" i="37"/>
  <c r="G120" i="37"/>
  <c r="G123" i="37" s="1"/>
  <c r="I18" i="28" l="1"/>
  <c r="I223" i="28"/>
  <c r="I228" i="28" s="1"/>
  <c r="M25" i="28"/>
  <c r="S3" i="38"/>
  <c r="R31" i="38"/>
  <c r="C12" i="29"/>
  <c r="C12" i="10"/>
  <c r="H217" i="28"/>
  <c r="L218" i="28"/>
  <c r="G222" i="28"/>
  <c r="G220" i="28"/>
  <c r="C5" i="38" s="1"/>
  <c r="I68" i="28"/>
  <c r="C10" i="34"/>
  <c r="V25" i="28"/>
  <c r="V26" i="28"/>
  <c r="T26" i="28"/>
  <c r="R26" i="28"/>
  <c r="P26" i="28"/>
  <c r="N26" i="28"/>
  <c r="L26" i="28"/>
  <c r="J26" i="28"/>
  <c r="I26" i="28"/>
  <c r="I34" i="28" s="1"/>
  <c r="U26" i="28"/>
  <c r="Q26" i="28"/>
  <c r="M26" i="28"/>
  <c r="W26" i="28"/>
  <c r="S26" i="28"/>
  <c r="O26" i="28"/>
  <c r="K26" i="28"/>
  <c r="K40" i="28" s="1"/>
  <c r="K219" i="28" s="1"/>
  <c r="R23" i="28"/>
  <c r="V21" i="28"/>
  <c r="U21" i="7"/>
  <c r="I119" i="28"/>
  <c r="M181" i="28"/>
  <c r="M194" i="28"/>
  <c r="M177" i="28"/>
  <c r="L201" i="28"/>
  <c r="M182" i="28"/>
  <c r="M192" i="28"/>
  <c r="M185" i="28"/>
  <c r="M179" i="28"/>
  <c r="M187" i="28"/>
  <c r="M188" i="28"/>
  <c r="M184" i="28"/>
  <c r="K172" i="28"/>
  <c r="J173" i="28"/>
  <c r="M189" i="28"/>
  <c r="M178" i="28"/>
  <c r="M197" i="28"/>
  <c r="M193" i="28"/>
  <c r="L199" i="28"/>
  <c r="J17" i="28"/>
  <c r="K10" i="28"/>
  <c r="L200" i="28"/>
  <c r="K202" i="28"/>
  <c r="K212" i="28" s="1"/>
  <c r="I121" i="28"/>
  <c r="J145" i="28"/>
  <c r="H89" i="28"/>
  <c r="H207" i="28" s="1"/>
  <c r="J41" i="28"/>
  <c r="M4" i="28"/>
  <c r="I147" i="28"/>
  <c r="I66" i="28"/>
  <c r="I52" i="28"/>
  <c r="I56" i="28"/>
  <c r="I60" i="28"/>
  <c r="I64" i="28"/>
  <c r="I57" i="28"/>
  <c r="I71" i="28"/>
  <c r="I76" i="28"/>
  <c r="I78" i="28"/>
  <c r="K130" i="28"/>
  <c r="I69" i="28"/>
  <c r="J95" i="28"/>
  <c r="J96" i="28"/>
  <c r="J97" i="28"/>
  <c r="J98" i="28"/>
  <c r="J99" i="28"/>
  <c r="J100" i="28"/>
  <c r="J101" i="28"/>
  <c r="J102" i="28"/>
  <c r="J103" i="28"/>
  <c r="J104" i="28"/>
  <c r="J116" i="28"/>
  <c r="K127" i="28"/>
  <c r="K131" i="28"/>
  <c r="K138" i="28"/>
  <c r="L154" i="28"/>
  <c r="L158" i="28"/>
  <c r="J110" i="28"/>
  <c r="J111" i="28"/>
  <c r="J112" i="28"/>
  <c r="K139" i="28"/>
  <c r="J113" i="28"/>
  <c r="L167" i="28"/>
  <c r="I54" i="28"/>
  <c r="I58" i="28"/>
  <c r="I62" i="28"/>
  <c r="I74" i="28"/>
  <c r="I53" i="28"/>
  <c r="I61" i="28"/>
  <c r="I79" i="28"/>
  <c r="I80" i="28"/>
  <c r="J105" i="28"/>
  <c r="K128" i="28"/>
  <c r="K132" i="28"/>
  <c r="K137" i="28"/>
  <c r="L163" i="28"/>
  <c r="I81" i="28"/>
  <c r="I82" i="28"/>
  <c r="I83" i="28"/>
  <c r="I84" i="28"/>
  <c r="J106" i="28"/>
  <c r="J115" i="28"/>
  <c r="K141" i="28"/>
  <c r="L152" i="28"/>
  <c r="L156" i="28"/>
  <c r="L164" i="28"/>
  <c r="J108" i="28"/>
  <c r="L165" i="28"/>
  <c r="L161" i="28"/>
  <c r="L153" i="28"/>
  <c r="K129" i="28"/>
  <c r="K134" i="28"/>
  <c r="L151" i="28"/>
  <c r="L155" i="28"/>
  <c r="K133" i="28"/>
  <c r="K126" i="28"/>
  <c r="K135" i="28"/>
  <c r="I75" i="28"/>
  <c r="I50" i="28"/>
  <c r="L160" i="28"/>
  <c r="L157" i="28"/>
  <c r="I72" i="28"/>
  <c r="I65" i="28"/>
  <c r="J94" i="28"/>
  <c r="L159" i="28"/>
  <c r="I63" i="28"/>
  <c r="I59" i="28"/>
  <c r="I55" i="28"/>
  <c r="I51" i="28"/>
  <c r="K142" i="28"/>
  <c r="J117" i="28"/>
  <c r="L168" i="28"/>
  <c r="I85" i="28"/>
  <c r="M180" i="28"/>
  <c r="I41" i="28"/>
  <c r="M186" i="28"/>
  <c r="M196" i="28"/>
  <c r="M183" i="28"/>
  <c r="M191" i="28"/>
  <c r="J144" i="28"/>
  <c r="K170" i="28"/>
  <c r="H87" i="28"/>
  <c r="H205" i="28" s="1"/>
  <c r="J146" i="28"/>
  <c r="K171" i="28"/>
  <c r="H42" i="28"/>
  <c r="H120" i="37"/>
  <c r="H123" i="37" s="1"/>
  <c r="I119" i="37"/>
  <c r="J18" i="28" l="1"/>
  <c r="J223" i="28"/>
  <c r="J228" i="28" s="1"/>
  <c r="J224" i="28"/>
  <c r="T3" i="38"/>
  <c r="S31" i="38"/>
  <c r="I217" i="28"/>
  <c r="I220" i="28" s="1"/>
  <c r="E5" i="38" s="1"/>
  <c r="G227" i="28"/>
  <c r="G230" i="28" s="1"/>
  <c r="G225" i="28"/>
  <c r="H222" i="28"/>
  <c r="H220" i="28"/>
  <c r="D5" i="38" s="1"/>
  <c r="M218" i="28"/>
  <c r="J229" i="28"/>
  <c r="J68" i="28"/>
  <c r="K145" i="28"/>
  <c r="V24" i="28"/>
  <c r="W25" i="28"/>
  <c r="X26" i="28"/>
  <c r="N189" i="28"/>
  <c r="Y27" i="28"/>
  <c r="W27" i="28"/>
  <c r="U27" i="28"/>
  <c r="S27" i="28"/>
  <c r="Q27" i="28"/>
  <c r="Q40" i="28" s="1"/>
  <c r="Q219" i="28" s="1"/>
  <c r="O27" i="28"/>
  <c r="O40" i="28" s="1"/>
  <c r="O219" i="28" s="1"/>
  <c r="M27" i="28"/>
  <c r="M40" i="28" s="1"/>
  <c r="M219" i="28" s="1"/>
  <c r="K27" i="28"/>
  <c r="V27" i="28"/>
  <c r="R27" i="28"/>
  <c r="R40" i="28" s="1"/>
  <c r="R219" i="28" s="1"/>
  <c r="N27" i="28"/>
  <c r="N40" i="28" s="1"/>
  <c r="N219" i="28" s="1"/>
  <c r="X27" i="28"/>
  <c r="T27" i="28"/>
  <c r="P27" i="28"/>
  <c r="P40" i="28" s="1"/>
  <c r="P219" i="28" s="1"/>
  <c r="L27" i="28"/>
  <c r="L40" i="28" s="1"/>
  <c r="L219" i="28" s="1"/>
  <c r="J27" i="28"/>
  <c r="J34" i="28" s="1"/>
  <c r="S23" i="28"/>
  <c r="W21" i="28"/>
  <c r="V21" i="7"/>
  <c r="M201" i="28"/>
  <c r="N197" i="28"/>
  <c r="J147" i="28"/>
  <c r="M200" i="28"/>
  <c r="J119" i="28"/>
  <c r="K144" i="28"/>
  <c r="J121" i="28"/>
  <c r="M199" i="28"/>
  <c r="I42" i="28"/>
  <c r="L171" i="28"/>
  <c r="K41" i="28"/>
  <c r="M167" i="28"/>
  <c r="K113" i="28"/>
  <c r="K112" i="28"/>
  <c r="K111" i="28"/>
  <c r="K110" i="28"/>
  <c r="J69" i="28"/>
  <c r="J74" i="28"/>
  <c r="J53" i="28"/>
  <c r="J61" i="28"/>
  <c r="J79" i="28"/>
  <c r="M163" i="28"/>
  <c r="K106" i="28"/>
  <c r="K115" i="28"/>
  <c r="L141" i="28"/>
  <c r="M152" i="28"/>
  <c r="M156" i="28"/>
  <c r="M165" i="28"/>
  <c r="J81" i="28"/>
  <c r="J83" i="28"/>
  <c r="K108" i="28"/>
  <c r="J66" i="28"/>
  <c r="J52" i="28"/>
  <c r="J54" i="28"/>
  <c r="J56" i="28"/>
  <c r="J58" i="28"/>
  <c r="J60" i="28"/>
  <c r="J62" i="28"/>
  <c r="J64" i="28"/>
  <c r="J57" i="28"/>
  <c r="J76" i="28"/>
  <c r="J78" i="28"/>
  <c r="J80" i="28"/>
  <c r="K105" i="28"/>
  <c r="L128" i="28"/>
  <c r="L130" i="28"/>
  <c r="L132" i="28"/>
  <c r="L137" i="28"/>
  <c r="J71" i="28"/>
  <c r="K95" i="28"/>
  <c r="K96" i="28"/>
  <c r="K97" i="28"/>
  <c r="K98" i="28"/>
  <c r="K99" i="28"/>
  <c r="K100" i="28"/>
  <c r="K101" i="28"/>
  <c r="K102" i="28"/>
  <c r="K103" i="28"/>
  <c r="K104" i="28"/>
  <c r="L127" i="28"/>
  <c r="L131" i="28"/>
  <c r="L138" i="28"/>
  <c r="M154" i="28"/>
  <c r="M158" i="28"/>
  <c r="M164" i="28"/>
  <c r="J82" i="28"/>
  <c r="J84" i="28"/>
  <c r="K116" i="28"/>
  <c r="L139" i="28"/>
  <c r="M161" i="28"/>
  <c r="M160" i="28"/>
  <c r="M157" i="28"/>
  <c r="J65" i="28"/>
  <c r="L126" i="28"/>
  <c r="J75" i="28"/>
  <c r="J63" i="28"/>
  <c r="J59" i="28"/>
  <c r="J55" i="28"/>
  <c r="J51" i="28"/>
  <c r="M153" i="28"/>
  <c r="L129" i="28"/>
  <c r="L134" i="28"/>
  <c r="J72" i="28"/>
  <c r="M151" i="28"/>
  <c r="K94" i="28"/>
  <c r="M159" i="28"/>
  <c r="M155" i="28"/>
  <c r="L133" i="28"/>
  <c r="L135" i="28"/>
  <c r="J50" i="28"/>
  <c r="L142" i="28"/>
  <c r="M168" i="28"/>
  <c r="J85" i="28"/>
  <c r="K117" i="28"/>
  <c r="N178" i="28"/>
  <c r="N196" i="28"/>
  <c r="N185" i="28"/>
  <c r="N193" i="28"/>
  <c r="N184" i="28"/>
  <c r="N192" i="28"/>
  <c r="N180" i="28"/>
  <c r="N186" i="28"/>
  <c r="N191" i="28"/>
  <c r="N179" i="28"/>
  <c r="N183" i="28"/>
  <c r="N194" i="28"/>
  <c r="N182" i="28"/>
  <c r="N177" i="28"/>
  <c r="N181" i="28"/>
  <c r="K173" i="28"/>
  <c r="N188" i="28"/>
  <c r="N187" i="28"/>
  <c r="I87" i="28"/>
  <c r="I205" i="28" s="1"/>
  <c r="L170" i="28"/>
  <c r="K146" i="28"/>
  <c r="L172" i="28"/>
  <c r="I89" i="28"/>
  <c r="I207" i="28" s="1"/>
  <c r="N4" i="28"/>
  <c r="K17" i="28"/>
  <c r="L10" i="28"/>
  <c r="L202" i="28"/>
  <c r="L212" i="28" s="1"/>
  <c r="I120" i="37"/>
  <c r="I123" i="37" s="1"/>
  <c r="K18" i="28" l="1"/>
  <c r="K223" i="28"/>
  <c r="K228" i="28" s="1"/>
  <c r="K224" i="28"/>
  <c r="U3" i="38"/>
  <c r="U31" i="38" s="1"/>
  <c r="T31" i="38"/>
  <c r="I222" i="28"/>
  <c r="I227" i="28" s="1"/>
  <c r="I230" i="28" s="1"/>
  <c r="J217" i="28"/>
  <c r="J222" i="28" s="1"/>
  <c r="H227" i="28"/>
  <c r="H230" i="28" s="1"/>
  <c r="H225" i="28"/>
  <c r="N218" i="28"/>
  <c r="K229" i="28"/>
  <c r="K68" i="28"/>
  <c r="M202" i="28"/>
  <c r="M212" i="28" s="1"/>
  <c r="N201" i="28"/>
  <c r="S40" i="28"/>
  <c r="S219" i="28" s="1"/>
  <c r="W24" i="28"/>
  <c r="X25" i="28"/>
  <c r="Y26" i="28"/>
  <c r="O193" i="28"/>
  <c r="Y28" i="28"/>
  <c r="W28" i="28"/>
  <c r="U28" i="28"/>
  <c r="S28" i="28"/>
  <c r="Q28" i="28"/>
  <c r="O28" i="28"/>
  <c r="M28" i="28"/>
  <c r="K28" i="28"/>
  <c r="K34" i="28" s="1"/>
  <c r="X28" i="28"/>
  <c r="T28" i="28"/>
  <c r="P28" i="28"/>
  <c r="L28" i="28"/>
  <c r="V28" i="28"/>
  <c r="R28" i="28"/>
  <c r="N28" i="28"/>
  <c r="T23" i="28"/>
  <c r="X21" i="28"/>
  <c r="W21" i="7"/>
  <c r="O188" i="28"/>
  <c r="O189" i="28"/>
  <c r="O178" i="28"/>
  <c r="O177" i="28"/>
  <c r="O187" i="28"/>
  <c r="L173" i="28"/>
  <c r="O186" i="28"/>
  <c r="O194" i="28"/>
  <c r="O183" i="28"/>
  <c r="O182" i="28"/>
  <c r="O192" i="28"/>
  <c r="J87" i="28"/>
  <c r="J205" i="28" s="1"/>
  <c r="Q41" i="28"/>
  <c r="R41" i="28"/>
  <c r="L17" i="28"/>
  <c r="M10" i="28"/>
  <c r="P41" i="28"/>
  <c r="N199" i="28"/>
  <c r="M170" i="28"/>
  <c r="L144" i="28"/>
  <c r="L145" i="28"/>
  <c r="J89" i="28"/>
  <c r="J207" i="28" s="1"/>
  <c r="K121" i="28"/>
  <c r="M171" i="28"/>
  <c r="L41" i="28"/>
  <c r="M172" i="28"/>
  <c r="K147" i="28"/>
  <c r="O41" i="28"/>
  <c r="J42" i="28"/>
  <c r="M139" i="28"/>
  <c r="L108" i="28"/>
  <c r="K66" i="28"/>
  <c r="K52" i="28"/>
  <c r="K56" i="28"/>
  <c r="K60" i="28"/>
  <c r="K64" i="28"/>
  <c r="K53" i="28"/>
  <c r="K61" i="28"/>
  <c r="K76" i="28"/>
  <c r="K79" i="28"/>
  <c r="K81" i="28"/>
  <c r="K82" i="28"/>
  <c r="K83" i="28"/>
  <c r="K84" i="28"/>
  <c r="L106" i="28"/>
  <c r="N152" i="28"/>
  <c r="N156" i="28"/>
  <c r="L115" i="28"/>
  <c r="K54" i="28"/>
  <c r="K58" i="28"/>
  <c r="K62" i="28"/>
  <c r="K74" i="28"/>
  <c r="K57" i="28"/>
  <c r="K71" i="28"/>
  <c r="L105" i="28"/>
  <c r="M128" i="28"/>
  <c r="M130" i="28"/>
  <c r="M132" i="28"/>
  <c r="M137" i="28"/>
  <c r="N163" i="28"/>
  <c r="K69" i="28"/>
  <c r="K78" i="28"/>
  <c r="K80" i="28"/>
  <c r="L95" i="28"/>
  <c r="L96" i="28"/>
  <c r="L97" i="28"/>
  <c r="L98" i="28"/>
  <c r="L99" i="28"/>
  <c r="L100" i="28"/>
  <c r="L101" i="28"/>
  <c r="L102" i="28"/>
  <c r="L103" i="28"/>
  <c r="L104" i="28"/>
  <c r="L116" i="28"/>
  <c r="M127" i="28"/>
  <c r="M131" i="28"/>
  <c r="M138" i="28"/>
  <c r="N154" i="28"/>
  <c r="N158" i="28"/>
  <c r="N165" i="28"/>
  <c r="L110" i="28"/>
  <c r="L111" i="28"/>
  <c r="L112" i="28"/>
  <c r="M141" i="28"/>
  <c r="N164" i="28"/>
  <c r="L113" i="28"/>
  <c r="N167" i="28"/>
  <c r="N161" i="28"/>
  <c r="N160" i="28"/>
  <c r="N157" i="28"/>
  <c r="K72" i="28"/>
  <c r="L94" i="28"/>
  <c r="K63" i="28"/>
  <c r="K59" i="28"/>
  <c r="K55" i="28"/>
  <c r="K51" i="28"/>
  <c r="K50" i="28"/>
  <c r="N153" i="28"/>
  <c r="M129" i="28"/>
  <c r="M134" i="28"/>
  <c r="K65" i="28"/>
  <c r="N151" i="28"/>
  <c r="N159" i="28"/>
  <c r="N155" i="28"/>
  <c r="M133" i="28"/>
  <c r="M126" i="28"/>
  <c r="M135" i="28"/>
  <c r="K75" i="28"/>
  <c r="M142" i="28"/>
  <c r="K85" i="28"/>
  <c r="L117" i="28"/>
  <c r="N168" i="28"/>
  <c r="O191" i="28"/>
  <c r="O185" i="28"/>
  <c r="O197" i="28"/>
  <c r="O4" i="28"/>
  <c r="O180" i="28"/>
  <c r="O196" i="28"/>
  <c r="O184" i="28"/>
  <c r="N200" i="28"/>
  <c r="O179" i="28"/>
  <c r="O181" i="28"/>
  <c r="K119" i="28"/>
  <c r="L146" i="28"/>
  <c r="M41" i="28"/>
  <c r="L18" i="28" l="1"/>
  <c r="L223" i="28"/>
  <c r="L228" i="28" s="1"/>
  <c r="J220" i="28"/>
  <c r="F5" i="38" s="1"/>
  <c r="L224" i="28"/>
  <c r="I225" i="28"/>
  <c r="O218" i="28"/>
  <c r="K217" i="28"/>
  <c r="K220" i="28" s="1"/>
  <c r="G5" i="38" s="1"/>
  <c r="J227" i="28"/>
  <c r="J230" i="28" s="1"/>
  <c r="J225" i="28"/>
  <c r="L229" i="28"/>
  <c r="L68" i="28"/>
  <c r="T40" i="28"/>
  <c r="X24" i="28"/>
  <c r="Y25" i="28"/>
  <c r="O200" i="28"/>
  <c r="P178" i="28"/>
  <c r="X29" i="28"/>
  <c r="V29" i="28"/>
  <c r="T29" i="28"/>
  <c r="R29" i="28"/>
  <c r="P29" i="28"/>
  <c r="N29" i="28"/>
  <c r="W29" i="28"/>
  <c r="S29" i="28"/>
  <c r="O29" i="28"/>
  <c r="L29" i="28"/>
  <c r="L34" i="28" s="1"/>
  <c r="Y29" i="28"/>
  <c r="U29" i="28"/>
  <c r="Q29" i="28"/>
  <c r="M29" i="28"/>
  <c r="U23" i="28"/>
  <c r="Y21" i="28"/>
  <c r="Y24" i="28" s="1"/>
  <c r="X21" i="7"/>
  <c r="P188" i="28"/>
  <c r="P179" i="28"/>
  <c r="P193" i="28"/>
  <c r="O201" i="28"/>
  <c r="N172" i="28"/>
  <c r="O199" i="28"/>
  <c r="K42" i="28"/>
  <c r="P4" i="28"/>
  <c r="K87" i="28"/>
  <c r="K205" i="28" s="1"/>
  <c r="M145" i="28"/>
  <c r="S41" i="28"/>
  <c r="L147" i="28"/>
  <c r="M113" i="28"/>
  <c r="L66" i="28"/>
  <c r="L52" i="28"/>
  <c r="L54" i="28"/>
  <c r="L56" i="28"/>
  <c r="L58" i="28"/>
  <c r="L60" i="28"/>
  <c r="L62" i="28"/>
  <c r="L64" i="28"/>
  <c r="L76" i="28"/>
  <c r="L78" i="28"/>
  <c r="L80" i="28"/>
  <c r="M105" i="28"/>
  <c r="N128" i="28"/>
  <c r="N130" i="28"/>
  <c r="N132" i="28"/>
  <c r="N137" i="28"/>
  <c r="L53" i="28"/>
  <c r="L57" i="28"/>
  <c r="L61" i="28"/>
  <c r="L69" i="28"/>
  <c r="O164" i="28"/>
  <c r="L82" i="28"/>
  <c r="L84" i="28"/>
  <c r="M96" i="28"/>
  <c r="M98" i="28"/>
  <c r="M100" i="28"/>
  <c r="M102" i="28"/>
  <c r="M104" i="28"/>
  <c r="N127" i="28"/>
  <c r="N138" i="28"/>
  <c r="N139" i="28"/>
  <c r="O152" i="28"/>
  <c r="O156" i="28"/>
  <c r="L74" i="28"/>
  <c r="L71" i="28"/>
  <c r="L79" i="28"/>
  <c r="O163" i="28"/>
  <c r="M115" i="28"/>
  <c r="M116" i="28"/>
  <c r="N141" i="28"/>
  <c r="O165" i="28"/>
  <c r="L81" i="28"/>
  <c r="L83" i="28"/>
  <c r="M95" i="28"/>
  <c r="M97" i="28"/>
  <c r="M99" i="28"/>
  <c r="M101" i="28"/>
  <c r="M103" i="28"/>
  <c r="M106" i="28"/>
  <c r="M108" i="28"/>
  <c r="M110" i="28"/>
  <c r="M111" i="28"/>
  <c r="M112" i="28"/>
  <c r="N131" i="28"/>
  <c r="O154" i="28"/>
  <c r="O158" i="28"/>
  <c r="O167" i="28"/>
  <c r="O157" i="28"/>
  <c r="L72" i="28"/>
  <c r="O151" i="28"/>
  <c r="M94" i="28"/>
  <c r="O159" i="28"/>
  <c r="L50" i="28"/>
  <c r="O161" i="28"/>
  <c r="O160" i="28"/>
  <c r="O153" i="28"/>
  <c r="N129" i="28"/>
  <c r="N134" i="28"/>
  <c r="L65" i="28"/>
  <c r="O155" i="28"/>
  <c r="N133" i="28"/>
  <c r="N126" i="28"/>
  <c r="N135" i="28"/>
  <c r="L75" i="28"/>
  <c r="L63" i="28"/>
  <c r="L59" i="28"/>
  <c r="L55" i="28"/>
  <c r="L51" i="28"/>
  <c r="M117" i="28"/>
  <c r="N142" i="28"/>
  <c r="O168" i="28"/>
  <c r="L85" i="28"/>
  <c r="P187" i="28"/>
  <c r="P189" i="28"/>
  <c r="P191" i="28"/>
  <c r="P177" i="28"/>
  <c r="P192" i="28"/>
  <c r="P196" i="28"/>
  <c r="P186" i="28"/>
  <c r="P185" i="28"/>
  <c r="P180" i="28"/>
  <c r="P194" i="28"/>
  <c r="P182" i="28"/>
  <c r="P181" i="28"/>
  <c r="P183" i="28"/>
  <c r="N41" i="28"/>
  <c r="P197" i="28"/>
  <c r="P184" i="28"/>
  <c r="M144" i="28"/>
  <c r="N170" i="28"/>
  <c r="L119" i="28"/>
  <c r="M146" i="28"/>
  <c r="K89" i="28"/>
  <c r="K207" i="28" s="1"/>
  <c r="N171" i="28"/>
  <c r="L121" i="28"/>
  <c r="M173" i="28"/>
  <c r="N202" i="28"/>
  <c r="N212" i="28" s="1"/>
  <c r="N10" i="28"/>
  <c r="M17" i="28"/>
  <c r="M18" i="28" l="1"/>
  <c r="X30" i="28" s="1"/>
  <c r="M223" i="28"/>
  <c r="M228" i="28" s="1"/>
  <c r="M224" i="28"/>
  <c r="M229" i="28" s="1"/>
  <c r="K222" i="28"/>
  <c r="K225" i="28" s="1"/>
  <c r="L217" i="28"/>
  <c r="L220" i="28" s="1"/>
  <c r="H5" i="38" s="1"/>
  <c r="P218" i="28"/>
  <c r="K227" i="28"/>
  <c r="K230" i="28" s="1"/>
  <c r="T41" i="28"/>
  <c r="T219" i="28"/>
  <c r="M68" i="28"/>
  <c r="O202" i="28"/>
  <c r="O212" i="28" s="1"/>
  <c r="U40" i="28"/>
  <c r="Q197" i="28"/>
  <c r="V30" i="28"/>
  <c r="T30" i="28"/>
  <c r="R30" i="28"/>
  <c r="P30" i="28"/>
  <c r="N30" i="28"/>
  <c r="M30" i="28"/>
  <c r="M34" i="28" s="1"/>
  <c r="Y30" i="28"/>
  <c r="W30" i="28"/>
  <c r="U30" i="28"/>
  <c r="S30" i="28"/>
  <c r="Q30" i="28"/>
  <c r="O30" i="28"/>
  <c r="V23" i="28"/>
  <c r="Y21" i="7"/>
  <c r="M119" i="28"/>
  <c r="Q179" i="28"/>
  <c r="Q177" i="28"/>
  <c r="Q184" i="28"/>
  <c r="N17" i="28"/>
  <c r="O10" i="28"/>
  <c r="M147" i="28"/>
  <c r="P200" i="28"/>
  <c r="L87" i="28"/>
  <c r="L205" i="28" s="1"/>
  <c r="O172" i="28"/>
  <c r="O171" i="28"/>
  <c r="L42" i="28"/>
  <c r="M54" i="28"/>
  <c r="M58" i="28"/>
  <c r="M62" i="28"/>
  <c r="M74" i="28"/>
  <c r="M57" i="28"/>
  <c r="M71" i="28"/>
  <c r="M79" i="28"/>
  <c r="M80" i="28"/>
  <c r="N105" i="28"/>
  <c r="O128" i="28"/>
  <c r="O132" i="28"/>
  <c r="O137" i="28"/>
  <c r="M69" i="28"/>
  <c r="N95" i="28"/>
  <c r="N96" i="28"/>
  <c r="N97" i="28"/>
  <c r="N98" i="28"/>
  <c r="N99" i="28"/>
  <c r="N100" i="28"/>
  <c r="N101" i="28"/>
  <c r="N102" i="28"/>
  <c r="N103" i="28"/>
  <c r="N104" i="28"/>
  <c r="N115" i="28"/>
  <c r="N116" i="28"/>
  <c r="O127" i="28"/>
  <c r="O131" i="28"/>
  <c r="O138" i="28"/>
  <c r="O141" i="28"/>
  <c r="P154" i="28"/>
  <c r="P158" i="28"/>
  <c r="P164" i="28"/>
  <c r="N108" i="28"/>
  <c r="N110" i="28"/>
  <c r="N111" i="28"/>
  <c r="N112" i="28"/>
  <c r="N113" i="28"/>
  <c r="P167" i="28"/>
  <c r="M66" i="28"/>
  <c r="M52" i="28"/>
  <c r="M56" i="28"/>
  <c r="M60" i="28"/>
  <c r="M64" i="28"/>
  <c r="M53" i="28"/>
  <c r="M61" i="28"/>
  <c r="M76" i="28"/>
  <c r="M78" i="28"/>
  <c r="O130" i="28"/>
  <c r="P163" i="28"/>
  <c r="M81" i="28"/>
  <c r="M82" i="28"/>
  <c r="M83" i="28"/>
  <c r="M84" i="28"/>
  <c r="N106" i="28"/>
  <c r="P152" i="28"/>
  <c r="P156" i="28"/>
  <c r="P165" i="28"/>
  <c r="O139" i="28"/>
  <c r="P153" i="28"/>
  <c r="O129" i="28"/>
  <c r="O134" i="28"/>
  <c r="M65" i="28"/>
  <c r="P151" i="28"/>
  <c r="P159" i="28"/>
  <c r="P155" i="28"/>
  <c r="O133" i="28"/>
  <c r="O135" i="28"/>
  <c r="M75" i="28"/>
  <c r="P161" i="28"/>
  <c r="P160" i="28"/>
  <c r="P157" i="28"/>
  <c r="M72" i="28"/>
  <c r="N94" i="28"/>
  <c r="O126" i="28"/>
  <c r="M63" i="28"/>
  <c r="M59" i="28"/>
  <c r="M55" i="28"/>
  <c r="M51" i="28"/>
  <c r="M50" i="28"/>
  <c r="P168" i="28"/>
  <c r="O142" i="28"/>
  <c r="N117" i="28"/>
  <c r="M85" i="28"/>
  <c r="Q196" i="28"/>
  <c r="Q181" i="28"/>
  <c r="Q182" i="28"/>
  <c r="Q180" i="28"/>
  <c r="Q192" i="28"/>
  <c r="Q185" i="28"/>
  <c r="Q187" i="28"/>
  <c r="Q194" i="28"/>
  <c r="Q183" i="28"/>
  <c r="Q178" i="28"/>
  <c r="Q191" i="28"/>
  <c r="N173" i="28"/>
  <c r="Q193" i="28"/>
  <c r="Q189" i="28"/>
  <c r="P201" i="28"/>
  <c r="P199" i="28"/>
  <c r="Q186" i="28"/>
  <c r="Q188" i="28"/>
  <c r="N144" i="28"/>
  <c r="O170" i="28"/>
  <c r="N146" i="28"/>
  <c r="M121" i="28"/>
  <c r="N145" i="28"/>
  <c r="L89" i="28"/>
  <c r="L207" i="28" s="1"/>
  <c r="Q4" i="28"/>
  <c r="N18" i="28" l="1"/>
  <c r="N224" i="28"/>
  <c r="N229" i="28" s="1"/>
  <c r="N223" i="28"/>
  <c r="N228" i="28" s="1"/>
  <c r="M217" i="28"/>
  <c r="M222" i="28" s="1"/>
  <c r="L222" i="28"/>
  <c r="L227" i="28" s="1"/>
  <c r="L230" i="28" s="1"/>
  <c r="M220" i="28"/>
  <c r="I5" i="38" s="1"/>
  <c r="Q218" i="28"/>
  <c r="U41" i="28"/>
  <c r="U219" i="28"/>
  <c r="N68" i="28"/>
  <c r="Q201" i="28"/>
  <c r="V40" i="28"/>
  <c r="R197" i="28"/>
  <c r="Y31" i="28"/>
  <c r="W31" i="28"/>
  <c r="U31" i="28"/>
  <c r="S31" i="28"/>
  <c r="Q31" i="28"/>
  <c r="O31" i="28"/>
  <c r="X31" i="28"/>
  <c r="V31" i="28"/>
  <c r="T31" i="28"/>
  <c r="R31" i="28"/>
  <c r="P31" i="28"/>
  <c r="N31" i="28"/>
  <c r="N34" i="28" s="1"/>
  <c r="W23" i="28"/>
  <c r="N119" i="28"/>
  <c r="M87" i="28"/>
  <c r="M205" i="28" s="1"/>
  <c r="O146" i="28"/>
  <c r="Q199" i="28"/>
  <c r="N147" i="28"/>
  <c r="P170" i="28"/>
  <c r="P171" i="28"/>
  <c r="M89" i="28"/>
  <c r="M207" i="28" s="1"/>
  <c r="O17" i="28"/>
  <c r="P10" i="28"/>
  <c r="R4" i="28"/>
  <c r="O173" i="28"/>
  <c r="P202" i="28"/>
  <c r="P212" i="28" s="1"/>
  <c r="Q200" i="28"/>
  <c r="O144" i="28"/>
  <c r="P172" i="28"/>
  <c r="N121" i="28"/>
  <c r="O145" i="28"/>
  <c r="M42" i="28"/>
  <c r="O113" i="28"/>
  <c r="Q167" i="28"/>
  <c r="O112" i="28"/>
  <c r="O111" i="28"/>
  <c r="O110" i="28"/>
  <c r="N69" i="28"/>
  <c r="N74" i="28"/>
  <c r="N57" i="28"/>
  <c r="N79" i="28"/>
  <c r="Q163" i="28"/>
  <c r="N71" i="28"/>
  <c r="O95" i="28"/>
  <c r="O96" i="28"/>
  <c r="O97" i="28"/>
  <c r="O98" i="28"/>
  <c r="O99" i="28"/>
  <c r="O100" i="28"/>
  <c r="O101" i="28"/>
  <c r="O102" i="28"/>
  <c r="O103" i="28"/>
  <c r="O104" i="28"/>
  <c r="O115" i="28"/>
  <c r="P127" i="28"/>
  <c r="P131" i="28"/>
  <c r="P138" i="28"/>
  <c r="P141" i="28"/>
  <c r="Q154" i="28"/>
  <c r="Q158" i="28"/>
  <c r="Q165" i="28"/>
  <c r="N81" i="28"/>
  <c r="N83" i="28"/>
  <c r="O108" i="28"/>
  <c r="O116" i="28"/>
  <c r="N66" i="28"/>
  <c r="N52" i="28"/>
  <c r="N54" i="28"/>
  <c r="N56" i="28"/>
  <c r="N58" i="28"/>
  <c r="N60" i="28"/>
  <c r="N62" i="28"/>
  <c r="N64" i="28"/>
  <c r="N53" i="28"/>
  <c r="N61" i="28"/>
  <c r="N76" i="28"/>
  <c r="N78" i="28"/>
  <c r="N80" i="28"/>
  <c r="O105" i="28"/>
  <c r="P128" i="28"/>
  <c r="P130" i="28"/>
  <c r="P132" i="28"/>
  <c r="P137" i="28"/>
  <c r="O106" i="28"/>
  <c r="Q152" i="28"/>
  <c r="Q156" i="28"/>
  <c r="Q164" i="28"/>
  <c r="N82" i="28"/>
  <c r="N84" i="28"/>
  <c r="P139" i="28"/>
  <c r="Q161" i="28"/>
  <c r="Q153" i="28"/>
  <c r="P129" i="28"/>
  <c r="P134" i="28"/>
  <c r="N72" i="28"/>
  <c r="N65" i="28"/>
  <c r="Q151" i="28"/>
  <c r="O94" i="28"/>
  <c r="Q155" i="28"/>
  <c r="P133" i="28"/>
  <c r="P126" i="28"/>
  <c r="P135" i="28"/>
  <c r="Q160" i="28"/>
  <c r="Q157" i="28"/>
  <c r="Q159" i="28"/>
  <c r="N75" i="28"/>
  <c r="N63" i="28"/>
  <c r="N59" i="28"/>
  <c r="N55" i="28"/>
  <c r="N51" i="28"/>
  <c r="N50" i="28"/>
  <c r="P142" i="28"/>
  <c r="Q168" i="28"/>
  <c r="N85" i="28"/>
  <c r="O117" i="28"/>
  <c r="R185" i="28"/>
  <c r="R183" i="28"/>
  <c r="R194" i="28"/>
  <c r="R177" i="28"/>
  <c r="R189" i="28"/>
  <c r="R196" i="28"/>
  <c r="R184" i="28"/>
  <c r="R188" i="28"/>
  <c r="R186" i="28"/>
  <c r="R193" i="28"/>
  <c r="R179" i="28"/>
  <c r="R182" i="28"/>
  <c r="R178" i="28"/>
  <c r="R191" i="28"/>
  <c r="R180" i="28"/>
  <c r="R181" i="28"/>
  <c r="R192" i="28"/>
  <c r="R187" i="28"/>
  <c r="M227" i="28" l="1"/>
  <c r="M230" i="28" s="1"/>
  <c r="M225" i="28"/>
  <c r="L225" i="28"/>
  <c r="O18" i="28"/>
  <c r="Y32" i="28" s="1"/>
  <c r="O224" i="28"/>
  <c r="O229" i="28" s="1"/>
  <c r="O223" i="28"/>
  <c r="O228" i="28" s="1"/>
  <c r="N217" i="28"/>
  <c r="N220" i="28" s="1"/>
  <c r="J5" i="38" s="1"/>
  <c r="R218" i="28"/>
  <c r="V41" i="28"/>
  <c r="V219" i="28"/>
  <c r="O68" i="28"/>
  <c r="R201" i="28"/>
  <c r="W40" i="28"/>
  <c r="S32" i="28"/>
  <c r="S34" i="28" s="1"/>
  <c r="Q32" i="28"/>
  <c r="Q34" i="28" s="1"/>
  <c r="O32" i="28"/>
  <c r="O34" i="28" s="1"/>
  <c r="X32" i="28"/>
  <c r="V32" i="28"/>
  <c r="V34" i="28" s="1"/>
  <c r="Y23" i="28"/>
  <c r="Y40" i="28" s="1"/>
  <c r="X23" i="28"/>
  <c r="N87" i="28"/>
  <c r="N205" i="28" s="1"/>
  <c r="P144" i="28"/>
  <c r="P145" i="28"/>
  <c r="Q170" i="28"/>
  <c r="N89" i="28"/>
  <c r="N207" i="28" s="1"/>
  <c r="N42" i="28"/>
  <c r="Q139" i="28"/>
  <c r="P108" i="28"/>
  <c r="O54" i="28"/>
  <c r="O58" i="28"/>
  <c r="O62" i="28"/>
  <c r="O74" i="28"/>
  <c r="O53" i="28"/>
  <c r="O61" i="28"/>
  <c r="P105" i="28"/>
  <c r="Q128" i="28"/>
  <c r="Q130" i="28"/>
  <c r="Q132" i="28"/>
  <c r="Q137" i="28"/>
  <c r="R163" i="28"/>
  <c r="O78" i="28"/>
  <c r="O80" i="28"/>
  <c r="O81" i="28"/>
  <c r="O82" i="28"/>
  <c r="O83" i="28"/>
  <c r="O84" i="28"/>
  <c r="P106" i="28"/>
  <c r="R152" i="28"/>
  <c r="R156" i="28"/>
  <c r="R165" i="28"/>
  <c r="Q141" i="28"/>
  <c r="O66" i="28"/>
  <c r="O52" i="28"/>
  <c r="O56" i="28"/>
  <c r="O60" i="28"/>
  <c r="O64" i="28"/>
  <c r="O57" i="28"/>
  <c r="O71" i="28"/>
  <c r="O69" i="28"/>
  <c r="O76" i="28"/>
  <c r="O79" i="28"/>
  <c r="P95" i="28"/>
  <c r="P96" i="28"/>
  <c r="P97" i="28"/>
  <c r="P98" i="28"/>
  <c r="P99" i="28"/>
  <c r="P100" i="28"/>
  <c r="P101" i="28"/>
  <c r="P102" i="28"/>
  <c r="P103" i="28"/>
  <c r="P104" i="28"/>
  <c r="P116" i="28"/>
  <c r="Q127" i="28"/>
  <c r="Q131" i="28"/>
  <c r="Q138" i="28"/>
  <c r="R154" i="28"/>
  <c r="R158" i="28"/>
  <c r="R164" i="28"/>
  <c r="P110" i="28"/>
  <c r="P111" i="28"/>
  <c r="P112" i="28"/>
  <c r="P115" i="28"/>
  <c r="P113" i="28"/>
  <c r="R167" i="28"/>
  <c r="R160" i="28"/>
  <c r="R157" i="28"/>
  <c r="O72" i="28"/>
  <c r="O65" i="28"/>
  <c r="P94" i="28"/>
  <c r="R159" i="28"/>
  <c r="Q126" i="28"/>
  <c r="O63" i="28"/>
  <c r="O59" i="28"/>
  <c r="O55" i="28"/>
  <c r="O51" i="28"/>
  <c r="R161" i="28"/>
  <c r="R153" i="28"/>
  <c r="Q129" i="28"/>
  <c r="Q134" i="28"/>
  <c r="R151" i="28"/>
  <c r="R155" i="28"/>
  <c r="Q133" i="28"/>
  <c r="Q135" i="28"/>
  <c r="O75" i="28"/>
  <c r="O50" i="28"/>
  <c r="P117" i="28"/>
  <c r="R168" i="28"/>
  <c r="O85" i="28"/>
  <c r="Q142" i="28"/>
  <c r="S177" i="28"/>
  <c r="S185" i="28"/>
  <c r="S179" i="28"/>
  <c r="S188" i="28"/>
  <c r="S189" i="28"/>
  <c r="S180" i="28"/>
  <c r="S182" i="28"/>
  <c r="S194" i="28"/>
  <c r="S191" i="28"/>
  <c r="S181" i="28"/>
  <c r="S186" i="28"/>
  <c r="S193" i="28"/>
  <c r="S192" i="28"/>
  <c r="S196" i="28"/>
  <c r="S187" i="28"/>
  <c r="S183" i="28"/>
  <c r="S178" i="28"/>
  <c r="S184" i="28"/>
  <c r="S197" i="28"/>
  <c r="R200" i="28"/>
  <c r="R199" i="28"/>
  <c r="O119" i="28"/>
  <c r="P146" i="28"/>
  <c r="O121" i="28"/>
  <c r="Q171" i="28"/>
  <c r="Q172" i="28"/>
  <c r="O147" i="28"/>
  <c r="S4" i="28"/>
  <c r="P17" i="28"/>
  <c r="Q10" i="28"/>
  <c r="P173" i="28"/>
  <c r="Q202" i="28"/>
  <c r="Q212" i="28" s="1"/>
  <c r="Y219" i="28" l="1"/>
  <c r="P18" i="28"/>
  <c r="P224" i="28"/>
  <c r="P229" i="28" s="1"/>
  <c r="P223" i="28"/>
  <c r="P228" i="28" s="1"/>
  <c r="P32" i="28"/>
  <c r="P34" i="28" s="1"/>
  <c r="U32" i="28"/>
  <c r="U34" i="28" s="1"/>
  <c r="U42" i="28" s="1"/>
  <c r="R32" i="28"/>
  <c r="R34" i="28" s="1"/>
  <c r="R42" i="28" s="1"/>
  <c r="W32" i="28"/>
  <c r="W34" i="28" s="1"/>
  <c r="W42" i="28" s="1"/>
  <c r="T32" i="28"/>
  <c r="T34" i="28" s="1"/>
  <c r="O217" i="28"/>
  <c r="O220" i="28" s="1"/>
  <c r="K5" i="38" s="1"/>
  <c r="N222" i="28"/>
  <c r="O222" i="28"/>
  <c r="S218" i="28"/>
  <c r="N227" i="28"/>
  <c r="N230" i="28" s="1"/>
  <c r="N225" i="28"/>
  <c r="W41" i="28"/>
  <c r="W219" i="28"/>
  <c r="P68" i="28"/>
  <c r="X40" i="28"/>
  <c r="X34" i="28"/>
  <c r="X42" i="28" s="1"/>
  <c r="Y34" i="28"/>
  <c r="Y42" i="28" s="1"/>
  <c r="Y41" i="28"/>
  <c r="AE19" i="30" s="1"/>
  <c r="P147" i="28"/>
  <c r="O87" i="28"/>
  <c r="O205" i="28" s="1"/>
  <c r="P119" i="28"/>
  <c r="Q146" i="28"/>
  <c r="R10" i="28"/>
  <c r="Q17" i="28"/>
  <c r="T4" i="28"/>
  <c r="R202" i="28"/>
  <c r="R212" i="28" s="1"/>
  <c r="S200" i="28"/>
  <c r="S199" i="28"/>
  <c r="Q144" i="28"/>
  <c r="O89" i="28"/>
  <c r="O207" i="28" s="1"/>
  <c r="Q145" i="28"/>
  <c r="S42" i="28"/>
  <c r="Q42" i="28"/>
  <c r="V42" i="28"/>
  <c r="Q173" i="28"/>
  <c r="Q113" i="28"/>
  <c r="P66" i="28"/>
  <c r="P52" i="28"/>
  <c r="P54" i="28"/>
  <c r="P56" i="28"/>
  <c r="P58" i="28"/>
  <c r="P60" i="28"/>
  <c r="P62" i="28"/>
  <c r="P64" i="28"/>
  <c r="P71" i="28"/>
  <c r="P76" i="28"/>
  <c r="P78" i="28"/>
  <c r="P80" i="28"/>
  <c r="Q105" i="28"/>
  <c r="R128" i="28"/>
  <c r="R130" i="28"/>
  <c r="R132" i="28"/>
  <c r="R137" i="28"/>
  <c r="Q116" i="28"/>
  <c r="S164" i="28"/>
  <c r="P82" i="28"/>
  <c r="P84" i="28"/>
  <c r="Q95" i="28"/>
  <c r="Q97" i="28"/>
  <c r="Q99" i="28"/>
  <c r="Q101" i="28"/>
  <c r="Q103" i="28"/>
  <c r="Q106" i="28"/>
  <c r="Q110" i="28"/>
  <c r="Q111" i="28"/>
  <c r="Q112" i="28"/>
  <c r="R131" i="28"/>
  <c r="R139" i="28"/>
  <c r="S154" i="28"/>
  <c r="S158" i="28"/>
  <c r="S167" i="28"/>
  <c r="P74" i="28"/>
  <c r="P79" i="28"/>
  <c r="S163" i="28"/>
  <c r="P53" i="28"/>
  <c r="P57" i="28"/>
  <c r="P61" i="28"/>
  <c r="P69" i="28"/>
  <c r="Q115" i="28"/>
  <c r="R141" i="28"/>
  <c r="S165" i="28"/>
  <c r="P81" i="28"/>
  <c r="P83" i="28"/>
  <c r="Q96" i="28"/>
  <c r="Q98" i="28"/>
  <c r="Q100" i="28"/>
  <c r="Q102" i="28"/>
  <c r="Q104" i="28"/>
  <c r="Q108" i="28"/>
  <c r="R127" i="28"/>
  <c r="R138" i="28"/>
  <c r="S152" i="28"/>
  <c r="S156" i="28"/>
  <c r="S160" i="28"/>
  <c r="S153" i="28"/>
  <c r="R129" i="28"/>
  <c r="R134" i="28"/>
  <c r="S159" i="28"/>
  <c r="S155" i="28"/>
  <c r="R133" i="28"/>
  <c r="R135" i="28"/>
  <c r="P75" i="28"/>
  <c r="P63" i="28"/>
  <c r="P59" i="28"/>
  <c r="P55" i="28"/>
  <c r="P51" i="28"/>
  <c r="P50" i="28"/>
  <c r="S161" i="28"/>
  <c r="S157" i="28"/>
  <c r="P72" i="28"/>
  <c r="P65" i="28"/>
  <c r="S151" i="28"/>
  <c r="Q94" i="28"/>
  <c r="R126" i="28"/>
  <c r="Q117" i="28"/>
  <c r="R142" i="28"/>
  <c r="S168" i="28"/>
  <c r="P85" i="28"/>
  <c r="T194" i="28"/>
  <c r="T180" i="28"/>
  <c r="T183" i="28"/>
  <c r="T177" i="28"/>
  <c r="T186" i="28"/>
  <c r="T181" i="28"/>
  <c r="T182" i="28"/>
  <c r="T196" i="28"/>
  <c r="T189" i="28"/>
  <c r="T187" i="28"/>
  <c r="T192" i="28"/>
  <c r="T191" i="28"/>
  <c r="T185" i="28"/>
  <c r="T179" i="28"/>
  <c r="T178" i="28"/>
  <c r="T197" i="28"/>
  <c r="T188" i="28"/>
  <c r="T184" i="28"/>
  <c r="T193" i="28"/>
  <c r="S201" i="28"/>
  <c r="R170" i="28"/>
  <c r="R172" i="28"/>
  <c r="P121" i="28"/>
  <c r="R171" i="28"/>
  <c r="O42" i="28"/>
  <c r="P42" i="28"/>
  <c r="T42" i="28"/>
  <c r="AE25" i="30" l="1"/>
  <c r="Q18" i="28"/>
  <c r="Q224" i="28"/>
  <c r="Q229" i="28" s="1"/>
  <c r="Q223" i="28"/>
  <c r="Q228" i="28" s="1"/>
  <c r="P217" i="28"/>
  <c r="P220" i="28" s="1"/>
  <c r="L5" i="38" s="1"/>
  <c r="T218" i="28"/>
  <c r="O225" i="28"/>
  <c r="O227" i="28"/>
  <c r="O230" i="28" s="1"/>
  <c r="X41" i="28"/>
  <c r="X219" i="28"/>
  <c r="Q68" i="28"/>
  <c r="R173" i="28"/>
  <c r="T200" i="28"/>
  <c r="Q119" i="28"/>
  <c r="T201" i="28"/>
  <c r="T199" i="28"/>
  <c r="P87" i="28"/>
  <c r="P205" i="28" s="1"/>
  <c r="Q121" i="28"/>
  <c r="S172" i="28"/>
  <c r="R145" i="28"/>
  <c r="P89" i="28"/>
  <c r="P207" i="28" s="1"/>
  <c r="U4" i="28"/>
  <c r="Q66" i="28"/>
  <c r="Q52" i="28"/>
  <c r="Q56" i="28"/>
  <c r="Q60" i="28"/>
  <c r="Q64" i="28"/>
  <c r="Q57" i="28"/>
  <c r="Q71" i="28"/>
  <c r="Q76" i="28"/>
  <c r="Q78" i="28"/>
  <c r="S130" i="28"/>
  <c r="T163" i="28"/>
  <c r="Q69" i="28"/>
  <c r="R95" i="28"/>
  <c r="R96" i="28"/>
  <c r="R97" i="28"/>
  <c r="R98" i="28"/>
  <c r="R99" i="28"/>
  <c r="R100" i="28"/>
  <c r="R101" i="28"/>
  <c r="R102" i="28"/>
  <c r="R103" i="28"/>
  <c r="R104" i="28"/>
  <c r="R116" i="28"/>
  <c r="S127" i="28"/>
  <c r="S131" i="28"/>
  <c r="S138" i="28"/>
  <c r="T154" i="28"/>
  <c r="T158" i="28"/>
  <c r="R110" i="28"/>
  <c r="R111" i="28"/>
  <c r="R112" i="28"/>
  <c r="S139" i="28"/>
  <c r="T165" i="28"/>
  <c r="R113" i="28"/>
  <c r="T167" i="28"/>
  <c r="Q54" i="28"/>
  <c r="Q58" i="28"/>
  <c r="Q62" i="28"/>
  <c r="Q74" i="28"/>
  <c r="Q53" i="28"/>
  <c r="Q61" i="28"/>
  <c r="Q79" i="28"/>
  <c r="Q80" i="28"/>
  <c r="R105" i="28"/>
  <c r="S128" i="28"/>
  <c r="S132" i="28"/>
  <c r="S137" i="28"/>
  <c r="Q81" i="28"/>
  <c r="Q82" i="28"/>
  <c r="Q83" i="28"/>
  <c r="Q84" i="28"/>
  <c r="R106" i="28"/>
  <c r="R115" i="28"/>
  <c r="S141" i="28"/>
  <c r="T152" i="28"/>
  <c r="T156" i="28"/>
  <c r="T164" i="28"/>
  <c r="R108" i="28"/>
  <c r="T161" i="28"/>
  <c r="T153" i="28"/>
  <c r="S129" i="28"/>
  <c r="S134" i="28"/>
  <c r="T151" i="28"/>
  <c r="T155" i="28"/>
  <c r="S133" i="28"/>
  <c r="S126" i="28"/>
  <c r="S135" i="28"/>
  <c r="Q75" i="28"/>
  <c r="Q50" i="28"/>
  <c r="T160" i="28"/>
  <c r="T157" i="28"/>
  <c r="Q72" i="28"/>
  <c r="Q65" i="28"/>
  <c r="R94" i="28"/>
  <c r="T159" i="28"/>
  <c r="Q63" i="28"/>
  <c r="Q59" i="28"/>
  <c r="Q55" i="28"/>
  <c r="Q51" i="28"/>
  <c r="S142" i="28"/>
  <c r="R117" i="28"/>
  <c r="T168" i="28"/>
  <c r="Q85" i="28"/>
  <c r="U178" i="28"/>
  <c r="U181" i="28"/>
  <c r="U197" i="28"/>
  <c r="U182" i="28"/>
  <c r="U177" i="28"/>
  <c r="U186" i="28"/>
  <c r="U179" i="28"/>
  <c r="U183" i="28"/>
  <c r="U194" i="28"/>
  <c r="U191" i="28"/>
  <c r="U192" i="28"/>
  <c r="U180" i="28"/>
  <c r="U187" i="28"/>
  <c r="U193" i="28"/>
  <c r="U185" i="28"/>
  <c r="U196" i="28"/>
  <c r="U189" i="28"/>
  <c r="U188" i="28"/>
  <c r="U184" i="28"/>
  <c r="R144" i="28"/>
  <c r="S170" i="28"/>
  <c r="R146" i="28"/>
  <c r="S171" i="28"/>
  <c r="Q147" i="28"/>
  <c r="S202" i="28"/>
  <c r="S212" i="28" s="1"/>
  <c r="R17" i="28"/>
  <c r="S10" i="28"/>
  <c r="R18" i="28" l="1"/>
  <c r="R224" i="28"/>
  <c r="R229" i="28" s="1"/>
  <c r="R223" i="28"/>
  <c r="R228" i="28" s="1"/>
  <c r="Q217" i="28"/>
  <c r="Q222" i="28" s="1"/>
  <c r="P222" i="28"/>
  <c r="P227" i="28" s="1"/>
  <c r="P230" i="28" s="1"/>
  <c r="Q220" i="28"/>
  <c r="M5" i="38" s="1"/>
  <c r="U218" i="28"/>
  <c r="R68" i="28"/>
  <c r="S173" i="28"/>
  <c r="U201" i="28"/>
  <c r="R119" i="28"/>
  <c r="S144" i="28"/>
  <c r="U167" i="28"/>
  <c r="S113" i="28"/>
  <c r="S112" i="28"/>
  <c r="S111" i="28"/>
  <c r="S110" i="28"/>
  <c r="R69" i="28"/>
  <c r="R74" i="28"/>
  <c r="R53" i="28"/>
  <c r="R61" i="28"/>
  <c r="R79" i="28"/>
  <c r="U163" i="28"/>
  <c r="S106" i="28"/>
  <c r="S115" i="28"/>
  <c r="T141" i="28"/>
  <c r="U152" i="28"/>
  <c r="U156" i="28"/>
  <c r="U165" i="28"/>
  <c r="R81" i="28"/>
  <c r="R83" i="28"/>
  <c r="S108" i="28"/>
  <c r="R66" i="28"/>
  <c r="R52" i="28"/>
  <c r="R54" i="28"/>
  <c r="R56" i="28"/>
  <c r="R58" i="28"/>
  <c r="R60" i="28"/>
  <c r="R62" i="28"/>
  <c r="R64" i="28"/>
  <c r="R57" i="28"/>
  <c r="R76" i="28"/>
  <c r="R78" i="28"/>
  <c r="R80" i="28"/>
  <c r="S105" i="28"/>
  <c r="T128" i="28"/>
  <c r="T130" i="28"/>
  <c r="T132" i="28"/>
  <c r="T137" i="28"/>
  <c r="R71" i="28"/>
  <c r="S95" i="28"/>
  <c r="S96" i="28"/>
  <c r="S97" i="28"/>
  <c r="S98" i="28"/>
  <c r="S99" i="28"/>
  <c r="S100" i="28"/>
  <c r="S101" i="28"/>
  <c r="S102" i="28"/>
  <c r="S103" i="28"/>
  <c r="S104" i="28"/>
  <c r="T127" i="28"/>
  <c r="T131" i="28"/>
  <c r="T138" i="28"/>
  <c r="U154" i="28"/>
  <c r="U158" i="28"/>
  <c r="U164" i="28"/>
  <c r="R82" i="28"/>
  <c r="R84" i="28"/>
  <c r="S116" i="28"/>
  <c r="T139" i="28"/>
  <c r="U161" i="28"/>
  <c r="U160" i="28"/>
  <c r="U157" i="28"/>
  <c r="R65" i="28"/>
  <c r="T126" i="28"/>
  <c r="R75" i="28"/>
  <c r="R63" i="28"/>
  <c r="R59" i="28"/>
  <c r="R55" i="28"/>
  <c r="R51" i="28"/>
  <c r="U153" i="28"/>
  <c r="T129" i="28"/>
  <c r="T134" i="28"/>
  <c r="R72" i="28"/>
  <c r="U151" i="28"/>
  <c r="S94" i="28"/>
  <c r="U159" i="28"/>
  <c r="U155" i="28"/>
  <c r="T133" i="28"/>
  <c r="T135" i="28"/>
  <c r="R50" i="28"/>
  <c r="T142" i="28"/>
  <c r="U168" i="28"/>
  <c r="R85" i="28"/>
  <c r="S117" i="28"/>
  <c r="V192" i="28"/>
  <c r="V184" i="28"/>
  <c r="V185" i="28"/>
  <c r="V196" i="28"/>
  <c r="V189" i="28"/>
  <c r="V182" i="28"/>
  <c r="V181" i="28"/>
  <c r="V177" i="28"/>
  <c r="V191" i="28"/>
  <c r="V193" i="28"/>
  <c r="V187" i="28"/>
  <c r="V194" i="28"/>
  <c r="V183" i="28"/>
  <c r="V197" i="28"/>
  <c r="V186" i="28"/>
  <c r="V180" i="28"/>
  <c r="V179" i="28"/>
  <c r="V188" i="28"/>
  <c r="V178" i="28"/>
  <c r="U200" i="28"/>
  <c r="S146" i="28"/>
  <c r="T202" i="28"/>
  <c r="T212" i="28" s="1"/>
  <c r="S17" i="28"/>
  <c r="T10" i="28"/>
  <c r="R147" i="28"/>
  <c r="U199" i="28"/>
  <c r="Q87" i="28"/>
  <c r="Q205" i="28" s="1"/>
  <c r="T170" i="28"/>
  <c r="R121" i="28"/>
  <c r="S145" i="28"/>
  <c r="T172" i="28"/>
  <c r="T171" i="28"/>
  <c r="Q89" i="28"/>
  <c r="Q207" i="28" s="1"/>
  <c r="V4" i="28"/>
  <c r="S18" i="28" l="1"/>
  <c r="S224" i="28"/>
  <c r="S229" i="28" s="1"/>
  <c r="S223" i="28"/>
  <c r="S228" i="28" s="1"/>
  <c r="P225" i="28"/>
  <c r="R217" i="28"/>
  <c r="R220" i="28" s="1"/>
  <c r="N5" i="38" s="1"/>
  <c r="Q227" i="28"/>
  <c r="Q230" i="28" s="1"/>
  <c r="Q225" i="28"/>
  <c r="V218" i="28"/>
  <c r="S68" i="28"/>
  <c r="S119" i="28"/>
  <c r="S147" i="28"/>
  <c r="W4" i="28"/>
  <c r="U202" i="28"/>
  <c r="U212" i="28" s="1"/>
  <c r="T17" i="28"/>
  <c r="U10" i="28"/>
  <c r="V199" i="28"/>
  <c r="V201" i="28"/>
  <c r="T146" i="28"/>
  <c r="T173" i="28"/>
  <c r="U139" i="28"/>
  <c r="T108" i="28"/>
  <c r="S66" i="28"/>
  <c r="S52" i="28"/>
  <c r="S56" i="28"/>
  <c r="S60" i="28"/>
  <c r="S64" i="28"/>
  <c r="S53" i="28"/>
  <c r="S61" i="28"/>
  <c r="S76" i="28"/>
  <c r="S79" i="28"/>
  <c r="S81" i="28"/>
  <c r="S82" i="28"/>
  <c r="S83" i="28"/>
  <c r="S84" i="28"/>
  <c r="T106" i="28"/>
  <c r="V152" i="28"/>
  <c r="V156" i="28"/>
  <c r="T115" i="28"/>
  <c r="V164" i="28"/>
  <c r="S54" i="28"/>
  <c r="S58" i="28"/>
  <c r="S62" i="28"/>
  <c r="S74" i="28"/>
  <c r="S57" i="28"/>
  <c r="S71" i="28"/>
  <c r="T105" i="28"/>
  <c r="U128" i="28"/>
  <c r="U130" i="28"/>
  <c r="U132" i="28"/>
  <c r="U137" i="28"/>
  <c r="V163" i="28"/>
  <c r="S69" i="28"/>
  <c r="S78" i="28"/>
  <c r="S80" i="28"/>
  <c r="T95" i="28"/>
  <c r="T96" i="28"/>
  <c r="T97" i="28"/>
  <c r="T98" i="28"/>
  <c r="T99" i="28"/>
  <c r="T100" i="28"/>
  <c r="T101" i="28"/>
  <c r="T102" i="28"/>
  <c r="T103" i="28"/>
  <c r="T104" i="28"/>
  <c r="T116" i="28"/>
  <c r="U127" i="28"/>
  <c r="U131" i="28"/>
  <c r="U138" i="28"/>
  <c r="V154" i="28"/>
  <c r="V158" i="28"/>
  <c r="V165" i="28"/>
  <c r="T110" i="28"/>
  <c r="T111" i="28"/>
  <c r="T112" i="28"/>
  <c r="U141" i="28"/>
  <c r="T113" i="28"/>
  <c r="V167" i="28"/>
  <c r="V160" i="28"/>
  <c r="V157" i="28"/>
  <c r="S72" i="28"/>
  <c r="T94" i="28"/>
  <c r="V159" i="28"/>
  <c r="S63" i="28"/>
  <c r="S59" i="28"/>
  <c r="S55" i="28"/>
  <c r="S51" i="28"/>
  <c r="S50" i="28"/>
  <c r="V161" i="28"/>
  <c r="V153" i="28"/>
  <c r="U129" i="28"/>
  <c r="U134" i="28"/>
  <c r="S65" i="28"/>
  <c r="V151" i="28"/>
  <c r="V155" i="28"/>
  <c r="U133" i="28"/>
  <c r="U126" i="28"/>
  <c r="U135" i="28"/>
  <c r="S75" i="28"/>
  <c r="U142" i="28"/>
  <c r="S85" i="28"/>
  <c r="T117" i="28"/>
  <c r="V168" i="28"/>
  <c r="W196" i="28"/>
  <c r="W189" i="28"/>
  <c r="W187" i="28"/>
  <c r="W180" i="28"/>
  <c r="W194" i="28"/>
  <c r="W192" i="28"/>
  <c r="W191" i="28"/>
  <c r="W178" i="28"/>
  <c r="W183" i="28"/>
  <c r="W181" i="28"/>
  <c r="W184" i="28"/>
  <c r="W193" i="28"/>
  <c r="W186" i="28"/>
  <c r="W182" i="28"/>
  <c r="W177" i="28"/>
  <c r="W185" i="28"/>
  <c r="W179" i="28"/>
  <c r="W188" i="28"/>
  <c r="W197" i="28"/>
  <c r="V200" i="28"/>
  <c r="R87" i="28"/>
  <c r="R205" i="28" s="1"/>
  <c r="U170" i="28"/>
  <c r="T144" i="28"/>
  <c r="T145" i="28"/>
  <c r="R89" i="28"/>
  <c r="R207" i="28" s="1"/>
  <c r="S121" i="28"/>
  <c r="U171" i="28"/>
  <c r="U172" i="28"/>
  <c r="T18" i="28" l="1"/>
  <c r="T224" i="28"/>
  <c r="T229" i="28" s="1"/>
  <c r="T223" i="28"/>
  <c r="T228" i="28" s="1"/>
  <c r="S217" i="28"/>
  <c r="S220" i="28" s="1"/>
  <c r="O5" i="38" s="1"/>
  <c r="R222" i="28"/>
  <c r="R227" i="28" s="1"/>
  <c r="R230" i="28" s="1"/>
  <c r="W218" i="28"/>
  <c r="S222" i="28"/>
  <c r="T68" i="28"/>
  <c r="T147" i="28"/>
  <c r="W200" i="28"/>
  <c r="U144" i="28"/>
  <c r="T121" i="28"/>
  <c r="W199" i="28"/>
  <c r="W201" i="28"/>
  <c r="U145" i="28"/>
  <c r="U113" i="28"/>
  <c r="T66" i="28"/>
  <c r="T52" i="28"/>
  <c r="T54" i="28"/>
  <c r="T56" i="28"/>
  <c r="T58" i="28"/>
  <c r="T60" i="28"/>
  <c r="T62" i="28"/>
  <c r="T64" i="28"/>
  <c r="T76" i="28"/>
  <c r="T78" i="28"/>
  <c r="T80" i="28"/>
  <c r="U105" i="28"/>
  <c r="V128" i="28"/>
  <c r="V130" i="28"/>
  <c r="V132" i="28"/>
  <c r="V137" i="28"/>
  <c r="T53" i="28"/>
  <c r="T57" i="28"/>
  <c r="T61" i="28"/>
  <c r="T69" i="28"/>
  <c r="W164" i="28"/>
  <c r="T82" i="28"/>
  <c r="T84" i="28"/>
  <c r="U96" i="28"/>
  <c r="U98" i="28"/>
  <c r="U100" i="28"/>
  <c r="U102" i="28"/>
  <c r="U104" i="28"/>
  <c r="V127" i="28"/>
  <c r="V138" i="28"/>
  <c r="V139" i="28"/>
  <c r="W152" i="28"/>
  <c r="W156" i="28"/>
  <c r="T74" i="28"/>
  <c r="T71" i="28"/>
  <c r="T79" i="28"/>
  <c r="W163" i="28"/>
  <c r="U115" i="28"/>
  <c r="U116" i="28"/>
  <c r="V141" i="28"/>
  <c r="W165" i="28"/>
  <c r="T81" i="28"/>
  <c r="T83" i="28"/>
  <c r="U95" i="28"/>
  <c r="U97" i="28"/>
  <c r="U99" i="28"/>
  <c r="U101" i="28"/>
  <c r="U103" i="28"/>
  <c r="U106" i="28"/>
  <c r="U108" i="28"/>
  <c r="U110" i="28"/>
  <c r="U111" i="28"/>
  <c r="U112" i="28"/>
  <c r="V131" i="28"/>
  <c r="W154" i="28"/>
  <c r="W158" i="28"/>
  <c r="W167" i="28"/>
  <c r="W160" i="28"/>
  <c r="W157" i="28"/>
  <c r="T72" i="28"/>
  <c r="W151" i="28"/>
  <c r="U94" i="28"/>
  <c r="W159" i="28"/>
  <c r="T50" i="28"/>
  <c r="W161" i="28"/>
  <c r="W153" i="28"/>
  <c r="V129" i="28"/>
  <c r="V134" i="28"/>
  <c r="T65" i="28"/>
  <c r="W155" i="28"/>
  <c r="V133" i="28"/>
  <c r="V126" i="28"/>
  <c r="V135" i="28"/>
  <c r="T75" i="28"/>
  <c r="T63" i="28"/>
  <c r="T59" i="28"/>
  <c r="T55" i="28"/>
  <c r="T51" i="28"/>
  <c r="U117" i="28"/>
  <c r="V142" i="28"/>
  <c r="W168" i="28"/>
  <c r="T85" i="28"/>
  <c r="X192" i="28"/>
  <c r="X177" i="28"/>
  <c r="X196" i="28"/>
  <c r="X186" i="28"/>
  <c r="X182" i="28"/>
  <c r="X181" i="28"/>
  <c r="X185" i="28"/>
  <c r="X194" i="28"/>
  <c r="X183" i="28"/>
  <c r="X191" i="28"/>
  <c r="X178" i="28"/>
  <c r="X188" i="28"/>
  <c r="X187" i="28"/>
  <c r="X189" i="28"/>
  <c r="X180" i="28"/>
  <c r="X179" i="28"/>
  <c r="X193" i="28"/>
  <c r="X184" i="28"/>
  <c r="X197" i="28"/>
  <c r="U173" i="28"/>
  <c r="V170" i="28"/>
  <c r="S87" i="28"/>
  <c r="S205" i="28" s="1"/>
  <c r="T119" i="28"/>
  <c r="V172" i="28"/>
  <c r="U146" i="28"/>
  <c r="S89" i="28"/>
  <c r="S207" i="28" s="1"/>
  <c r="V171" i="28"/>
  <c r="V202" i="28"/>
  <c r="V212" i="28" s="1"/>
  <c r="V10" i="28"/>
  <c r="U17" i="28"/>
  <c r="X4" i="28"/>
  <c r="D31" i="33"/>
  <c r="D5" i="33"/>
  <c r="E4" i="33"/>
  <c r="F4" i="33" s="1"/>
  <c r="G4" i="33" s="1"/>
  <c r="H4" i="33" s="1"/>
  <c r="I4" i="33" s="1"/>
  <c r="J4" i="33" s="1"/>
  <c r="K4" i="33" s="1"/>
  <c r="L4" i="33" s="1"/>
  <c r="M4" i="33" s="1"/>
  <c r="N4" i="33" s="1"/>
  <c r="O4" i="33" s="1"/>
  <c r="P4" i="33" s="1"/>
  <c r="Q4" i="33" s="1"/>
  <c r="R4" i="33" s="1"/>
  <c r="S4" i="33" s="1"/>
  <c r="T4" i="33" s="1"/>
  <c r="U4" i="33" s="1"/>
  <c r="V4" i="33" s="1"/>
  <c r="W4" i="33" s="1"/>
  <c r="W36" i="32"/>
  <c r="V36" i="32"/>
  <c r="U36" i="32"/>
  <c r="T36" i="32"/>
  <c r="S36" i="32"/>
  <c r="R36" i="32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E31" i="32"/>
  <c r="D31" i="32"/>
  <c r="E27" i="32"/>
  <c r="D5" i="32"/>
  <c r="E4" i="32"/>
  <c r="F4" i="32" s="1"/>
  <c r="G4" i="32" s="1"/>
  <c r="H4" i="32" s="1"/>
  <c r="I4" i="32" s="1"/>
  <c r="J4" i="32" s="1"/>
  <c r="K4" i="32" s="1"/>
  <c r="L4" i="32" s="1"/>
  <c r="M4" i="32" s="1"/>
  <c r="N4" i="32" s="1"/>
  <c r="O4" i="32" s="1"/>
  <c r="P4" i="32" s="1"/>
  <c r="Q4" i="32" s="1"/>
  <c r="R4" i="32" s="1"/>
  <c r="S4" i="32" s="1"/>
  <c r="T4" i="32" s="1"/>
  <c r="U4" i="32" s="1"/>
  <c r="V4" i="32" s="1"/>
  <c r="W4" i="32" s="1"/>
  <c r="C94" i="31"/>
  <c r="C80" i="31"/>
  <c r="W76" i="31"/>
  <c r="V76" i="31"/>
  <c r="U76" i="31"/>
  <c r="T76" i="31"/>
  <c r="S76" i="31"/>
  <c r="R76" i="31"/>
  <c r="Q76" i="31"/>
  <c r="P76" i="31"/>
  <c r="O76" i="31"/>
  <c r="N76" i="31"/>
  <c r="M76" i="31"/>
  <c r="L76" i="31"/>
  <c r="K76" i="31"/>
  <c r="J76" i="31"/>
  <c r="I76" i="31"/>
  <c r="H76" i="31"/>
  <c r="G76" i="31"/>
  <c r="F76" i="31"/>
  <c r="E76" i="31"/>
  <c r="D76" i="31"/>
  <c r="D78" i="31" s="1"/>
  <c r="C67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D65" i="31" s="1"/>
  <c r="C54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D52" i="31" s="1"/>
  <c r="C40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D38" i="31" s="1"/>
  <c r="E16" i="31"/>
  <c r="F16" i="31" s="1"/>
  <c r="G16" i="31" s="1"/>
  <c r="H16" i="31" s="1"/>
  <c r="I16" i="31" s="1"/>
  <c r="J16" i="31" s="1"/>
  <c r="K16" i="31" s="1"/>
  <c r="L16" i="31" s="1"/>
  <c r="M16" i="31" s="1"/>
  <c r="N16" i="31" s="1"/>
  <c r="O16" i="31" s="1"/>
  <c r="P16" i="31" s="1"/>
  <c r="Q16" i="31" s="1"/>
  <c r="R16" i="31" s="1"/>
  <c r="S16" i="31" s="1"/>
  <c r="T16" i="31" s="1"/>
  <c r="U16" i="31" s="1"/>
  <c r="V16" i="31" s="1"/>
  <c r="W16" i="31" s="1"/>
  <c r="D16" i="31"/>
  <c r="D43" i="33"/>
  <c r="E4" i="31"/>
  <c r="F4" i="31" s="1"/>
  <c r="G4" i="31" s="1"/>
  <c r="H4" i="31" s="1"/>
  <c r="I4" i="31" s="1"/>
  <c r="J4" i="31" s="1"/>
  <c r="K4" i="31" s="1"/>
  <c r="L4" i="31" s="1"/>
  <c r="M4" i="31" s="1"/>
  <c r="N4" i="31" s="1"/>
  <c r="O4" i="31" s="1"/>
  <c r="P4" i="31" s="1"/>
  <c r="Q4" i="31" s="1"/>
  <c r="R4" i="31" s="1"/>
  <c r="S4" i="31" s="1"/>
  <c r="T4" i="31" s="1"/>
  <c r="U4" i="31" s="1"/>
  <c r="V4" i="31" s="1"/>
  <c r="W4" i="31" s="1"/>
  <c r="D29" i="30"/>
  <c r="D28" i="30"/>
  <c r="D5" i="30"/>
  <c r="E4" i="30"/>
  <c r="F4" i="30" s="1"/>
  <c r="G4" i="30" s="1"/>
  <c r="H4" i="30" s="1"/>
  <c r="I4" i="30" s="1"/>
  <c r="J4" i="30" s="1"/>
  <c r="K4" i="30" s="1"/>
  <c r="L4" i="30" s="1"/>
  <c r="M4" i="30" s="1"/>
  <c r="N4" i="30" s="1"/>
  <c r="O4" i="30" s="1"/>
  <c r="P4" i="30" s="1"/>
  <c r="Q4" i="30" s="1"/>
  <c r="R4" i="30" s="1"/>
  <c r="S4" i="30" s="1"/>
  <c r="T4" i="30" s="1"/>
  <c r="U4" i="30" s="1"/>
  <c r="V4" i="30" s="1"/>
  <c r="W4" i="30" s="1"/>
  <c r="C40" i="29"/>
  <c r="C39" i="29"/>
  <c r="C38" i="29"/>
  <c r="E4" i="29"/>
  <c r="E5" i="29" s="1"/>
  <c r="E18" i="29" s="1"/>
  <c r="E17" i="30" s="1"/>
  <c r="D18" i="29"/>
  <c r="D17" i="30" s="1"/>
  <c r="C11" i="7"/>
  <c r="C12" i="7" s="1"/>
  <c r="C13" i="7" s="1"/>
  <c r="C14" i="7" s="1"/>
  <c r="C15" i="7" s="1"/>
  <c r="C11" i="5"/>
  <c r="C12" i="5" s="1"/>
  <c r="C13" i="5" s="1"/>
  <c r="C14" i="5" s="1"/>
  <c r="C15" i="5" s="1"/>
  <c r="U18" i="28" l="1"/>
  <c r="U224" i="28"/>
  <c r="U229" i="28" s="1"/>
  <c r="U223" i="28"/>
  <c r="U228" i="28" s="1"/>
  <c r="T217" i="28"/>
  <c r="R225" i="28"/>
  <c r="T222" i="28"/>
  <c r="T220" i="28"/>
  <c r="P5" i="38" s="1"/>
  <c r="X218" i="28"/>
  <c r="S227" i="28"/>
  <c r="S230" i="28" s="1"/>
  <c r="S225" i="28"/>
  <c r="U68" i="28"/>
  <c r="Q67" i="31"/>
  <c r="Q80" i="31"/>
  <c r="E67" i="31"/>
  <c r="M67" i="31"/>
  <c r="U67" i="31"/>
  <c r="E80" i="31"/>
  <c r="M80" i="31"/>
  <c r="U80" i="31"/>
  <c r="I67" i="31"/>
  <c r="I80" i="31"/>
  <c r="E43" i="33"/>
  <c r="F43" i="33" s="1"/>
  <c r="G43" i="33" s="1"/>
  <c r="H43" i="33" s="1"/>
  <c r="I43" i="33" s="1"/>
  <c r="J43" i="33" s="1"/>
  <c r="K43" i="33" s="1"/>
  <c r="L43" i="33" s="1"/>
  <c r="M43" i="33" s="1"/>
  <c r="N43" i="33" s="1"/>
  <c r="O43" i="33" s="1"/>
  <c r="P43" i="33" s="1"/>
  <c r="Q43" i="33" s="1"/>
  <c r="R43" i="33" s="1"/>
  <c r="S43" i="33" s="1"/>
  <c r="T43" i="33" s="1"/>
  <c r="U43" i="33" s="1"/>
  <c r="V43" i="33" s="1"/>
  <c r="W43" i="33" s="1"/>
  <c r="F4" i="29"/>
  <c r="V144" i="28"/>
  <c r="U119" i="28"/>
  <c r="U121" i="28"/>
  <c r="Y4" i="28"/>
  <c r="V17" i="28"/>
  <c r="W10" i="28"/>
  <c r="V173" i="28"/>
  <c r="X201" i="28"/>
  <c r="T87" i="28"/>
  <c r="T205" i="28" s="1"/>
  <c r="V146" i="28"/>
  <c r="V145" i="28"/>
  <c r="T89" i="28"/>
  <c r="T207" i="28" s="1"/>
  <c r="W202" i="28"/>
  <c r="W212" i="28" s="1"/>
  <c r="U54" i="28"/>
  <c r="U58" i="28"/>
  <c r="U62" i="28"/>
  <c r="U74" i="28"/>
  <c r="U57" i="28"/>
  <c r="U71" i="28"/>
  <c r="U79" i="28"/>
  <c r="U80" i="28"/>
  <c r="V105" i="28"/>
  <c r="W128" i="28"/>
  <c r="W132" i="28"/>
  <c r="W137" i="28"/>
  <c r="X163" i="28"/>
  <c r="U69" i="28"/>
  <c r="V95" i="28"/>
  <c r="V96" i="28"/>
  <c r="V97" i="28"/>
  <c r="V98" i="28"/>
  <c r="V99" i="28"/>
  <c r="V100" i="28"/>
  <c r="V101" i="28"/>
  <c r="V102" i="28"/>
  <c r="V103" i="28"/>
  <c r="V104" i="28"/>
  <c r="V115" i="28"/>
  <c r="V116" i="28"/>
  <c r="W127" i="28"/>
  <c r="W131" i="28"/>
  <c r="W138" i="28"/>
  <c r="W141" i="28"/>
  <c r="X154" i="28"/>
  <c r="X158" i="28"/>
  <c r="X164" i="28"/>
  <c r="X165" i="28"/>
  <c r="V108" i="28"/>
  <c r="V110" i="28"/>
  <c r="V111" i="28"/>
  <c r="V112" i="28"/>
  <c r="V113" i="28"/>
  <c r="X167" i="28"/>
  <c r="U66" i="28"/>
  <c r="U52" i="28"/>
  <c r="U56" i="28"/>
  <c r="U60" i="28"/>
  <c r="U64" i="28"/>
  <c r="U53" i="28"/>
  <c r="U61" i="28"/>
  <c r="U76" i="28"/>
  <c r="U78" i="28"/>
  <c r="W130" i="28"/>
  <c r="U81" i="28"/>
  <c r="U82" i="28"/>
  <c r="U83" i="28"/>
  <c r="U84" i="28"/>
  <c r="V106" i="28"/>
  <c r="X152" i="28"/>
  <c r="X156" i="28"/>
  <c r="W139" i="28"/>
  <c r="X153" i="28"/>
  <c r="W129" i="28"/>
  <c r="W134" i="28"/>
  <c r="U65" i="28"/>
  <c r="X151" i="28"/>
  <c r="X159" i="28"/>
  <c r="X155" i="28"/>
  <c r="W133" i="28"/>
  <c r="W135" i="28"/>
  <c r="U75" i="28"/>
  <c r="X161" i="28"/>
  <c r="X160" i="28"/>
  <c r="X157" i="28"/>
  <c r="U72" i="28"/>
  <c r="V94" i="28"/>
  <c r="W126" i="28"/>
  <c r="U63" i="28"/>
  <c r="U59" i="28"/>
  <c r="U55" i="28"/>
  <c r="U51" i="28"/>
  <c r="U50" i="28"/>
  <c r="U217" i="28" s="1"/>
  <c r="W142" i="28"/>
  <c r="V117" i="28"/>
  <c r="X168" i="28"/>
  <c r="U85" i="28"/>
  <c r="Y185" i="28"/>
  <c r="Y189" i="28"/>
  <c r="Y187" i="28"/>
  <c r="Y177" i="28"/>
  <c r="Y183" i="28"/>
  <c r="Y191" i="28"/>
  <c r="Y178" i="28"/>
  <c r="Y192" i="28"/>
  <c r="Y181" i="28"/>
  <c r="Y182" i="28"/>
  <c r="Y196" i="28"/>
  <c r="Y186" i="28"/>
  <c r="Y193" i="28"/>
  <c r="Y188" i="28"/>
  <c r="Y179" i="28"/>
  <c r="Y194" i="28"/>
  <c r="Y184" i="28"/>
  <c r="Y180" i="28"/>
  <c r="Y197" i="28"/>
  <c r="X200" i="28"/>
  <c r="X199" i="28"/>
  <c r="W170" i="28"/>
  <c r="W172" i="28"/>
  <c r="W171" i="28"/>
  <c r="U147" i="28"/>
  <c r="V40" i="31"/>
  <c r="T40" i="31"/>
  <c r="R40" i="31"/>
  <c r="P40" i="31"/>
  <c r="N40" i="31"/>
  <c r="L40" i="31"/>
  <c r="J40" i="31"/>
  <c r="H40" i="31"/>
  <c r="F40" i="31"/>
  <c r="D40" i="31"/>
  <c r="W40" i="31"/>
  <c r="U40" i="31"/>
  <c r="S40" i="31"/>
  <c r="Q40" i="31"/>
  <c r="O40" i="31"/>
  <c r="M40" i="31"/>
  <c r="K40" i="31"/>
  <c r="I40" i="31"/>
  <c r="G40" i="31"/>
  <c r="E40" i="31"/>
  <c r="D54" i="31"/>
  <c r="D56" i="31" s="1"/>
  <c r="V67" i="31"/>
  <c r="T67" i="31"/>
  <c r="R67" i="31"/>
  <c r="P67" i="31"/>
  <c r="N67" i="31"/>
  <c r="L67" i="31"/>
  <c r="J67" i="31"/>
  <c r="H67" i="31"/>
  <c r="F67" i="31"/>
  <c r="D67" i="31"/>
  <c r="D69" i="31" s="1"/>
  <c r="G67" i="31"/>
  <c r="K67" i="31"/>
  <c r="O67" i="31"/>
  <c r="S67" i="31"/>
  <c r="W67" i="31"/>
  <c r="V80" i="31"/>
  <c r="T80" i="31"/>
  <c r="R80" i="31"/>
  <c r="P80" i="31"/>
  <c r="N80" i="31"/>
  <c r="L80" i="31"/>
  <c r="J80" i="31"/>
  <c r="H80" i="31"/>
  <c r="F80" i="31"/>
  <c r="D80" i="31"/>
  <c r="D82" i="31" s="1"/>
  <c r="E73" i="31" s="1"/>
  <c r="E78" i="31" s="1"/>
  <c r="E82" i="31" s="1"/>
  <c r="F73" i="31" s="1"/>
  <c r="F78" i="31" s="1"/>
  <c r="G80" i="31"/>
  <c r="K80" i="31"/>
  <c r="O80" i="31"/>
  <c r="S80" i="31"/>
  <c r="W80" i="31"/>
  <c r="F5" i="29"/>
  <c r="F18" i="29" s="1"/>
  <c r="F17" i="30" s="1"/>
  <c r="G4" i="29"/>
  <c r="V18" i="28" l="1"/>
  <c r="V224" i="28"/>
  <c r="V229" i="28" s="1"/>
  <c r="V223" i="28"/>
  <c r="V228" i="28" s="1"/>
  <c r="U220" i="28"/>
  <c r="Q5" i="38" s="1"/>
  <c r="U222" i="28"/>
  <c r="Y218" i="28"/>
  <c r="T225" i="28"/>
  <c r="T227" i="28"/>
  <c r="T230" i="28" s="1"/>
  <c r="V68" i="28"/>
  <c r="E46" i="31"/>
  <c r="E52" i="31" s="1"/>
  <c r="E54" i="31" s="1"/>
  <c r="D13" i="33"/>
  <c r="E60" i="31"/>
  <c r="E65" i="31" s="1"/>
  <c r="E69" i="31" s="1"/>
  <c r="D14" i="33"/>
  <c r="U87" i="28"/>
  <c r="U205" i="28" s="1"/>
  <c r="V119" i="28"/>
  <c r="X202" i="28"/>
  <c r="X212" i="28" s="1"/>
  <c r="Y201" i="28"/>
  <c r="X170" i="28"/>
  <c r="U89" i="28"/>
  <c r="U207" i="28" s="1"/>
  <c r="V121" i="28"/>
  <c r="X171" i="28"/>
  <c r="V147" i="28"/>
  <c r="W113" i="28"/>
  <c r="Y167" i="28"/>
  <c r="W112" i="28"/>
  <c r="W111" i="28"/>
  <c r="W110" i="28"/>
  <c r="V69" i="28"/>
  <c r="V74" i="28"/>
  <c r="V57" i="28"/>
  <c r="V79" i="28"/>
  <c r="Y163" i="28"/>
  <c r="V71" i="28"/>
  <c r="W95" i="28"/>
  <c r="W96" i="28"/>
  <c r="W97" i="28"/>
  <c r="W98" i="28"/>
  <c r="W99" i="28"/>
  <c r="W100" i="28"/>
  <c r="W101" i="28"/>
  <c r="W102" i="28"/>
  <c r="W103" i="28"/>
  <c r="W104" i="28"/>
  <c r="W115" i="28"/>
  <c r="X127" i="28"/>
  <c r="X131" i="28"/>
  <c r="X138" i="28"/>
  <c r="X141" i="28"/>
  <c r="Y154" i="28"/>
  <c r="Y158" i="28"/>
  <c r="Y165" i="28"/>
  <c r="V81" i="28"/>
  <c r="V83" i="28"/>
  <c r="W108" i="28"/>
  <c r="W116" i="28"/>
  <c r="V66" i="28"/>
  <c r="V52" i="28"/>
  <c r="V54" i="28"/>
  <c r="V56" i="28"/>
  <c r="V58" i="28"/>
  <c r="V60" i="28"/>
  <c r="V62" i="28"/>
  <c r="V64" i="28"/>
  <c r="V53" i="28"/>
  <c r="V61" i="28"/>
  <c r="V76" i="28"/>
  <c r="V78" i="28"/>
  <c r="V80" i="28"/>
  <c r="W105" i="28"/>
  <c r="X128" i="28"/>
  <c r="X130" i="28"/>
  <c r="X132" i="28"/>
  <c r="X137" i="28"/>
  <c r="W106" i="28"/>
  <c r="Y152" i="28"/>
  <c r="Y156" i="28"/>
  <c r="Y164" i="28"/>
  <c r="V82" i="28"/>
  <c r="V84" i="28"/>
  <c r="X139" i="28"/>
  <c r="Y161" i="28"/>
  <c r="Y153" i="28"/>
  <c r="X129" i="28"/>
  <c r="X134" i="28"/>
  <c r="V72" i="28"/>
  <c r="V65" i="28"/>
  <c r="Y151" i="28"/>
  <c r="W94" i="28"/>
  <c r="Y155" i="28"/>
  <c r="X133" i="28"/>
  <c r="X126" i="28"/>
  <c r="X135" i="28"/>
  <c r="Y160" i="28"/>
  <c r="Y157" i="28"/>
  <c r="Y159" i="28"/>
  <c r="V75" i="28"/>
  <c r="V63" i="28"/>
  <c r="V59" i="28"/>
  <c r="V55" i="28"/>
  <c r="V51" i="28"/>
  <c r="V50" i="28"/>
  <c r="X142" i="28"/>
  <c r="Y168" i="28"/>
  <c r="V85" i="28"/>
  <c r="W117" i="28"/>
  <c r="W173" i="28"/>
  <c r="Y200" i="28"/>
  <c r="AE15" i="30" s="1"/>
  <c r="AE16" i="30" s="1"/>
  <c r="Y199" i="28"/>
  <c r="W144" i="28"/>
  <c r="X172" i="28"/>
  <c r="W146" i="28"/>
  <c r="W145" i="28"/>
  <c r="W17" i="28"/>
  <c r="X10" i="28"/>
  <c r="D7" i="33"/>
  <c r="D7" i="30"/>
  <c r="D8" i="30" s="1"/>
  <c r="F82" i="31"/>
  <c r="G73" i="31" s="1"/>
  <c r="G78" i="31" s="1"/>
  <c r="G82" i="31" s="1"/>
  <c r="H73" i="31" s="1"/>
  <c r="H78" i="31" s="1"/>
  <c r="H82" i="31" s="1"/>
  <c r="I73" i="31" s="1"/>
  <c r="I78" i="31" s="1"/>
  <c r="I82" i="31" s="1"/>
  <c r="J73" i="31" s="1"/>
  <c r="J78" i="31" s="1"/>
  <c r="J82" i="31" s="1"/>
  <c r="K73" i="31" s="1"/>
  <c r="K78" i="31" s="1"/>
  <c r="K82" i="31" s="1"/>
  <c r="L73" i="31" s="1"/>
  <c r="L78" i="31" s="1"/>
  <c r="L82" i="31" s="1"/>
  <c r="M73" i="31" s="1"/>
  <c r="M78" i="31" s="1"/>
  <c r="M82" i="31" s="1"/>
  <c r="N73" i="31" s="1"/>
  <c r="N78" i="31" s="1"/>
  <c r="N82" i="31" s="1"/>
  <c r="O73" i="31" s="1"/>
  <c r="O78" i="31" s="1"/>
  <c r="O82" i="31" s="1"/>
  <c r="P73" i="31" s="1"/>
  <c r="P78" i="31" s="1"/>
  <c r="P82" i="31" s="1"/>
  <c r="Q73" i="31" s="1"/>
  <c r="Q78" i="31" s="1"/>
  <c r="Q82" i="31" s="1"/>
  <c r="R73" i="31" s="1"/>
  <c r="R78" i="31" s="1"/>
  <c r="R82" i="31" s="1"/>
  <c r="S73" i="31" s="1"/>
  <c r="S78" i="31" s="1"/>
  <c r="S82" i="31" s="1"/>
  <c r="T73" i="31" s="1"/>
  <c r="T78" i="31" s="1"/>
  <c r="T82" i="31" s="1"/>
  <c r="U73" i="31" s="1"/>
  <c r="U78" i="31" s="1"/>
  <c r="U82" i="31" s="1"/>
  <c r="V73" i="31" s="1"/>
  <c r="V78" i="31" s="1"/>
  <c r="V82" i="31" s="1"/>
  <c r="W73" i="31" s="1"/>
  <c r="W78" i="31" s="1"/>
  <c r="W82" i="31" s="1"/>
  <c r="D101" i="31"/>
  <c r="D42" i="31"/>
  <c r="E30" i="31" s="1"/>
  <c r="E38" i="31" s="1"/>
  <c r="E42" i="31" s="1"/>
  <c r="F30" i="31" s="1"/>
  <c r="F38" i="31" s="1"/>
  <c r="F42" i="31" s="1"/>
  <c r="G30" i="31" s="1"/>
  <c r="G38" i="31" s="1"/>
  <c r="G42" i="31" s="1"/>
  <c r="H30" i="31" s="1"/>
  <c r="H38" i="31" s="1"/>
  <c r="H42" i="31" s="1"/>
  <c r="I30" i="31" s="1"/>
  <c r="I38" i="31" s="1"/>
  <c r="I42" i="31" s="1"/>
  <c r="J30" i="31" s="1"/>
  <c r="J38" i="31" s="1"/>
  <c r="J42" i="31" s="1"/>
  <c r="K30" i="31" s="1"/>
  <c r="K38" i="31" s="1"/>
  <c r="K42" i="31" s="1"/>
  <c r="L30" i="31" s="1"/>
  <c r="L38" i="31" s="1"/>
  <c r="L42" i="31" s="1"/>
  <c r="M30" i="31" s="1"/>
  <c r="M38" i="31" s="1"/>
  <c r="M42" i="31" s="1"/>
  <c r="N30" i="31" s="1"/>
  <c r="N38" i="31" s="1"/>
  <c r="N42" i="31" s="1"/>
  <c r="O30" i="31" s="1"/>
  <c r="O38" i="31" s="1"/>
  <c r="O42" i="31" s="1"/>
  <c r="P30" i="31" s="1"/>
  <c r="P38" i="31" s="1"/>
  <c r="P42" i="31" s="1"/>
  <c r="Q30" i="31" s="1"/>
  <c r="Q38" i="31" s="1"/>
  <c r="Q42" i="31" s="1"/>
  <c r="R30" i="31" s="1"/>
  <c r="R38" i="31" s="1"/>
  <c r="R42" i="31" s="1"/>
  <c r="S30" i="31" s="1"/>
  <c r="S38" i="31" s="1"/>
  <c r="S42" i="31" s="1"/>
  <c r="T30" i="31" s="1"/>
  <c r="T38" i="31" s="1"/>
  <c r="T42" i="31" s="1"/>
  <c r="U30" i="31" s="1"/>
  <c r="U38" i="31" s="1"/>
  <c r="U42" i="31" s="1"/>
  <c r="V30" i="31" s="1"/>
  <c r="V38" i="31" s="1"/>
  <c r="V42" i="31" s="1"/>
  <c r="W30" i="31" s="1"/>
  <c r="W38" i="31" s="1"/>
  <c r="W42" i="31" s="1"/>
  <c r="D7" i="29"/>
  <c r="G5" i="29"/>
  <c r="H4" i="29"/>
  <c r="W18" i="28" l="1"/>
  <c r="W54" i="28" s="1"/>
  <c r="W224" i="28"/>
  <c r="W229" i="28" s="1"/>
  <c r="W223" i="28"/>
  <c r="W228" i="28" s="1"/>
  <c r="V217" i="28"/>
  <c r="V220" i="28" s="1"/>
  <c r="R5" i="38" s="1"/>
  <c r="U227" i="28"/>
  <c r="U230" i="28" s="1"/>
  <c r="U225" i="28"/>
  <c r="W68" i="28"/>
  <c r="E56" i="31"/>
  <c r="E13" i="33" s="1"/>
  <c r="E101" i="31"/>
  <c r="F46" i="31"/>
  <c r="F52" i="31" s="1"/>
  <c r="F54" i="31" s="1"/>
  <c r="F101" i="31" s="1"/>
  <c r="F60" i="31"/>
  <c r="F65" i="31" s="1"/>
  <c r="F69" i="31" s="1"/>
  <c r="E14" i="33"/>
  <c r="V87" i="28"/>
  <c r="V205" i="28" s="1"/>
  <c r="X144" i="28"/>
  <c r="X145" i="28"/>
  <c r="X17" i="28"/>
  <c r="Y10" i="28"/>
  <c r="Y17" i="28" s="1"/>
  <c r="Y224" i="28" s="1"/>
  <c r="Y229" i="28" s="1"/>
  <c r="W147" i="28"/>
  <c r="Y170" i="28"/>
  <c r="V89" i="28"/>
  <c r="V207" i="28" s="1"/>
  <c r="X173" i="28"/>
  <c r="Y139" i="28"/>
  <c r="X108" i="28"/>
  <c r="W58" i="28"/>
  <c r="W62" i="28"/>
  <c r="W74" i="28"/>
  <c r="W53" i="28"/>
  <c r="W61" i="28"/>
  <c r="X105" i="28"/>
  <c r="Y128" i="28"/>
  <c r="Y130" i="28"/>
  <c r="Y132" i="28"/>
  <c r="Y137" i="28"/>
  <c r="W78" i="28"/>
  <c r="W81" i="28"/>
  <c r="W82" i="28"/>
  <c r="W83" i="28"/>
  <c r="W84" i="28"/>
  <c r="X106" i="28"/>
  <c r="X113" i="28"/>
  <c r="Y141" i="28"/>
  <c r="W66" i="28"/>
  <c r="W52" i="28"/>
  <c r="W56" i="28"/>
  <c r="W60" i="28"/>
  <c r="W64" i="28"/>
  <c r="W57" i="28"/>
  <c r="W71" i="28"/>
  <c r="W80" i="28"/>
  <c r="W69" i="28"/>
  <c r="W76" i="28"/>
  <c r="W79" i="28"/>
  <c r="X95" i="28"/>
  <c r="X96" i="28"/>
  <c r="X97" i="28"/>
  <c r="X98" i="28"/>
  <c r="X99" i="28"/>
  <c r="X100" i="28"/>
  <c r="X101" i="28"/>
  <c r="X102" i="28"/>
  <c r="X103" i="28"/>
  <c r="X104" i="28"/>
  <c r="X116" i="28"/>
  <c r="Y127" i="28"/>
  <c r="Y131" i="28"/>
  <c r="Y138" i="28"/>
  <c r="X110" i="28"/>
  <c r="X111" i="28"/>
  <c r="X112" i="28"/>
  <c r="X115" i="28"/>
  <c r="W72" i="28"/>
  <c r="W65" i="28"/>
  <c r="X94" i="28"/>
  <c r="Y126" i="28"/>
  <c r="W63" i="28"/>
  <c r="W59" i="28"/>
  <c r="W55" i="28"/>
  <c r="W51" i="28"/>
  <c r="Y129" i="28"/>
  <c r="Y134" i="28"/>
  <c r="Y133" i="28"/>
  <c r="Y135" i="28"/>
  <c r="W75" i="28"/>
  <c r="W50" i="28"/>
  <c r="X117" i="28"/>
  <c r="W85" i="28"/>
  <c r="Y142" i="28"/>
  <c r="Y202" i="28"/>
  <c r="Y212" i="28" s="1"/>
  <c r="W119" i="28"/>
  <c r="X146" i="28"/>
  <c r="W121" i="28"/>
  <c r="Y171" i="28"/>
  <c r="Y172" i="28"/>
  <c r="E7" i="33"/>
  <c r="E7" i="30"/>
  <c r="E8" i="30" s="1"/>
  <c r="E7" i="29"/>
  <c r="E8" i="29" s="1"/>
  <c r="D8" i="29"/>
  <c r="H5" i="29"/>
  <c r="I4" i="29"/>
  <c r="X18" i="28" l="1"/>
  <c r="X224" i="28"/>
  <c r="X229" i="28" s="1"/>
  <c r="X223" i="28"/>
  <c r="X228" i="28" s="1"/>
  <c r="Y223" i="28"/>
  <c r="Y228" i="28" s="1"/>
  <c r="V222" i="28"/>
  <c r="W217" i="28"/>
  <c r="W222" i="28" s="1"/>
  <c r="V227" i="28"/>
  <c r="V230" i="28" s="1"/>
  <c r="V225" i="28"/>
  <c r="X68" i="28"/>
  <c r="G60" i="31"/>
  <c r="G65" i="31" s="1"/>
  <c r="G69" i="31" s="1"/>
  <c r="F14" i="33"/>
  <c r="W87" i="28"/>
  <c r="W205" i="28" s="1"/>
  <c r="X121" i="28"/>
  <c r="Y173" i="28"/>
  <c r="Y144" i="28"/>
  <c r="W89" i="28"/>
  <c r="W207" i="28" s="1"/>
  <c r="Y18" i="28"/>
  <c r="X119" i="28"/>
  <c r="Y146" i="28"/>
  <c r="Y145" i="28"/>
  <c r="X147" i="28"/>
  <c r="Y113" i="28"/>
  <c r="X66" i="28"/>
  <c r="X52" i="28"/>
  <c r="X54" i="28"/>
  <c r="X56" i="28"/>
  <c r="X58" i="28"/>
  <c r="X60" i="28"/>
  <c r="X62" i="28"/>
  <c r="X64" i="28"/>
  <c r="X71" i="28"/>
  <c r="X76" i="28"/>
  <c r="X78" i="28"/>
  <c r="X80" i="28"/>
  <c r="Y105" i="28"/>
  <c r="X81" i="28"/>
  <c r="X83" i="28"/>
  <c r="Y116" i="28"/>
  <c r="Y95" i="28"/>
  <c r="Y97" i="28"/>
  <c r="Y99" i="28"/>
  <c r="Y101" i="28"/>
  <c r="Y103" i="28"/>
  <c r="Y106" i="28"/>
  <c r="Y110" i="28"/>
  <c r="Y111" i="28"/>
  <c r="Y112" i="28"/>
  <c r="X74" i="28"/>
  <c r="X79" i="28"/>
  <c r="X53" i="28"/>
  <c r="X57" i="28"/>
  <c r="X61" i="28"/>
  <c r="X69" i="28"/>
  <c r="X82" i="28"/>
  <c r="X84" i="28"/>
  <c r="Y115" i="28"/>
  <c r="Y96" i="28"/>
  <c r="Y98" i="28"/>
  <c r="Y100" i="28"/>
  <c r="Y102" i="28"/>
  <c r="Y104" i="28"/>
  <c r="Y108" i="28"/>
  <c r="X75" i="28"/>
  <c r="X63" i="28"/>
  <c r="X59" i="28"/>
  <c r="X55" i="28"/>
  <c r="X51" i="28"/>
  <c r="X50" i="28"/>
  <c r="X72" i="28"/>
  <c r="X65" i="28"/>
  <c r="Y94" i="28"/>
  <c r="Y117" i="28"/>
  <c r="X85" i="28"/>
  <c r="F7" i="33"/>
  <c r="F7" i="30"/>
  <c r="F8" i="30" s="1"/>
  <c r="F7" i="29"/>
  <c r="F8" i="29" s="1"/>
  <c r="F56" i="31"/>
  <c r="J4" i="29"/>
  <c r="I5" i="29"/>
  <c r="W220" i="28" l="1"/>
  <c r="S5" i="38" s="1"/>
  <c r="X217" i="28"/>
  <c r="X222" i="28" s="1"/>
  <c r="W225" i="28"/>
  <c r="W227" i="28"/>
  <c r="W230" i="28" s="1"/>
  <c r="Y68" i="28"/>
  <c r="G46" i="31"/>
  <c r="G52" i="31" s="1"/>
  <c r="G54" i="31" s="1"/>
  <c r="G101" i="31" s="1"/>
  <c r="F13" i="33"/>
  <c r="H60" i="31"/>
  <c r="H65" i="31" s="1"/>
  <c r="H69" i="31" s="1"/>
  <c r="G14" i="33"/>
  <c r="X87" i="28"/>
  <c r="X205" i="28" s="1"/>
  <c r="Y121" i="28"/>
  <c r="Y119" i="28"/>
  <c r="X89" i="28"/>
  <c r="X207" i="28" s="1"/>
  <c r="Y66" i="28"/>
  <c r="Y52" i="28"/>
  <c r="Y56" i="28"/>
  <c r="Y60" i="28"/>
  <c r="Y64" i="28"/>
  <c r="Y57" i="28"/>
  <c r="Y71" i="28"/>
  <c r="Y76" i="28"/>
  <c r="Y78" i="28"/>
  <c r="Y80" i="28"/>
  <c r="Y69" i="28"/>
  <c r="Y54" i="28"/>
  <c r="Y58" i="28"/>
  <c r="Y62" i="28"/>
  <c r="Y74" i="28"/>
  <c r="Y53" i="28"/>
  <c r="Y61" i="28"/>
  <c r="Y79" i="28"/>
  <c r="Y81" i="28"/>
  <c r="Y82" i="28"/>
  <c r="Y83" i="28"/>
  <c r="Y84" i="28"/>
  <c r="Y75" i="28"/>
  <c r="Y50" i="28"/>
  <c r="Y72" i="28"/>
  <c r="Y65" i="28"/>
  <c r="Y63" i="28"/>
  <c r="Y59" i="28"/>
  <c r="Y55" i="28"/>
  <c r="Y51" i="28"/>
  <c r="Y85" i="28"/>
  <c r="Y147" i="28"/>
  <c r="G7" i="33"/>
  <c r="G7" i="30"/>
  <c r="G8" i="30" s="1"/>
  <c r="G7" i="29"/>
  <c r="G8" i="29" s="1"/>
  <c r="J5" i="29"/>
  <c r="K4" i="29"/>
  <c r="Y217" i="28" l="1"/>
  <c r="Y222" i="28" s="1"/>
  <c r="X220" i="28"/>
  <c r="T5" i="38" s="1"/>
  <c r="X225" i="28"/>
  <c r="X227" i="28"/>
  <c r="X230" i="28" s="1"/>
  <c r="I60" i="31"/>
  <c r="I65" i="31" s="1"/>
  <c r="I69" i="31" s="1"/>
  <c r="H14" i="33"/>
  <c r="Y87" i="28"/>
  <c r="Y205" i="28" s="1"/>
  <c r="Y89" i="28"/>
  <c r="Y207" i="28" s="1"/>
  <c r="H7" i="33"/>
  <c r="H7" i="30"/>
  <c r="H8" i="30" s="1"/>
  <c r="H7" i="29"/>
  <c r="H8" i="29" s="1"/>
  <c r="G56" i="31"/>
  <c r="K5" i="29"/>
  <c r="L4" i="29"/>
  <c r="Y220" i="28" l="1"/>
  <c r="U5" i="38" s="1"/>
  <c r="Y225" i="28"/>
  <c r="Y227" i="28"/>
  <c r="Y230" i="28" s="1"/>
  <c r="H46" i="31"/>
  <c r="H52" i="31" s="1"/>
  <c r="H54" i="31" s="1"/>
  <c r="H101" i="31" s="1"/>
  <c r="G13" i="33"/>
  <c r="J60" i="31"/>
  <c r="J65" i="31" s="1"/>
  <c r="J69" i="31" s="1"/>
  <c r="I14" i="33"/>
  <c r="I7" i="33"/>
  <c r="I7" i="30"/>
  <c r="I8" i="30" s="1"/>
  <c r="I7" i="29"/>
  <c r="I8" i="29" s="1"/>
  <c r="H10" i="29"/>
  <c r="H10" i="30" s="1"/>
  <c r="H9" i="33" s="1"/>
  <c r="F10" i="29"/>
  <c r="D10" i="29"/>
  <c r="L5" i="29"/>
  <c r="M4" i="29"/>
  <c r="I10" i="29"/>
  <c r="K60" i="31" l="1"/>
  <c r="K65" i="31" s="1"/>
  <c r="K69" i="31" s="1"/>
  <c r="J14" i="33"/>
  <c r="H12" i="29"/>
  <c r="H14" i="29" s="1"/>
  <c r="J7" i="33"/>
  <c r="J7" i="30"/>
  <c r="J8" i="30" s="1"/>
  <c r="J7" i="29"/>
  <c r="J8" i="29" s="1"/>
  <c r="G10" i="29"/>
  <c r="D12" i="29"/>
  <c r="D10" i="30"/>
  <c r="D9" i="33" s="1"/>
  <c r="E10" i="29"/>
  <c r="F12" i="29"/>
  <c r="F10" i="30"/>
  <c r="F9" i="33" s="1"/>
  <c r="I10" i="30"/>
  <c r="I9" i="33" s="1"/>
  <c r="I12" i="29"/>
  <c r="H56" i="31"/>
  <c r="N4" i="29"/>
  <c r="M5" i="29"/>
  <c r="J10" i="29"/>
  <c r="H12" i="30" l="1"/>
  <c r="H14" i="30" s="1"/>
  <c r="H14" i="31"/>
  <c r="I46" i="31"/>
  <c r="I52" i="31" s="1"/>
  <c r="I54" i="31" s="1"/>
  <c r="I101" i="31" s="1"/>
  <c r="H13" i="33"/>
  <c r="L60" i="31"/>
  <c r="L65" i="31" s="1"/>
  <c r="L69" i="31" s="1"/>
  <c r="K14" i="33"/>
  <c r="K7" i="33"/>
  <c r="K7" i="30"/>
  <c r="K8" i="30" s="1"/>
  <c r="K7" i="29"/>
  <c r="K8" i="29" s="1"/>
  <c r="F14" i="29"/>
  <c r="F12" i="30"/>
  <c r="F14" i="30" s="1"/>
  <c r="D14" i="29"/>
  <c r="D12" i="30"/>
  <c r="D14" i="30" s="1"/>
  <c r="E10" i="30"/>
  <c r="E9" i="33" s="1"/>
  <c r="E12" i="29"/>
  <c r="G10" i="30"/>
  <c r="G9" i="33" s="1"/>
  <c r="G12" i="29"/>
  <c r="J10" i="30"/>
  <c r="J9" i="33" s="1"/>
  <c r="J12" i="29"/>
  <c r="I14" i="29"/>
  <c r="I12" i="30"/>
  <c r="I14" i="30" s="1"/>
  <c r="H37" i="29"/>
  <c r="H40" i="29"/>
  <c r="N5" i="29"/>
  <c r="O4" i="29"/>
  <c r="K10" i="29"/>
  <c r="I14" i="31" l="1"/>
  <c r="M60" i="31"/>
  <c r="M65" i="31" s="1"/>
  <c r="M69" i="31" s="1"/>
  <c r="L14" i="33"/>
  <c r="L7" i="33"/>
  <c r="L7" i="30"/>
  <c r="L8" i="30" s="1"/>
  <c r="L7" i="29"/>
  <c r="L8" i="29" s="1"/>
  <c r="G12" i="30"/>
  <c r="G14" i="30" s="1"/>
  <c r="G14" i="29"/>
  <c r="E12" i="30"/>
  <c r="E14" i="30" s="1"/>
  <c r="E14" i="29"/>
  <c r="D37" i="29"/>
  <c r="D40" i="29"/>
  <c r="D61" i="32" s="1"/>
  <c r="F40" i="29"/>
  <c r="F37" i="29"/>
  <c r="J14" i="29"/>
  <c r="J12" i="30"/>
  <c r="J14" i="30" s="1"/>
  <c r="K10" i="30"/>
  <c r="K9" i="33" s="1"/>
  <c r="K12" i="29"/>
  <c r="I40" i="29"/>
  <c r="I61" i="32" s="1"/>
  <c r="I64" i="32" s="1"/>
  <c r="I37" i="29"/>
  <c r="I56" i="31"/>
  <c r="O5" i="29"/>
  <c r="P4" i="29"/>
  <c r="L10" i="29"/>
  <c r="J14" i="31" l="1"/>
  <c r="J46" i="31"/>
  <c r="J52" i="31" s="1"/>
  <c r="J54" i="31" s="1"/>
  <c r="J101" i="31" s="1"/>
  <c r="I13" i="33"/>
  <c r="N60" i="31"/>
  <c r="N65" i="31" s="1"/>
  <c r="N69" i="31" s="1"/>
  <c r="M14" i="33"/>
  <c r="M7" i="33"/>
  <c r="M7" i="30"/>
  <c r="M8" i="30" s="1"/>
  <c r="M7" i="29"/>
  <c r="M8" i="29" s="1"/>
  <c r="D20" i="29"/>
  <c r="D22" i="30" s="1"/>
  <c r="D52" i="32"/>
  <c r="D21" i="33" s="1"/>
  <c r="E40" i="29"/>
  <c r="E61" i="32" s="1"/>
  <c r="E37" i="29"/>
  <c r="G40" i="29"/>
  <c r="G37" i="29"/>
  <c r="F61" i="32"/>
  <c r="D64" i="32"/>
  <c r="D30" i="33"/>
  <c r="D33" i="33" s="1"/>
  <c r="I20" i="29"/>
  <c r="I22" i="30" s="1"/>
  <c r="I52" i="32"/>
  <c r="K14" i="29"/>
  <c r="K12" i="30"/>
  <c r="K14" i="30" s="1"/>
  <c r="L10" i="30"/>
  <c r="L9" i="33" s="1"/>
  <c r="L12" i="29"/>
  <c r="J37" i="29"/>
  <c r="J40" i="29"/>
  <c r="J61" i="32" s="1"/>
  <c r="J64" i="32" s="1"/>
  <c r="P5" i="29"/>
  <c r="Q4" i="29"/>
  <c r="V10" i="29"/>
  <c r="V10" i="30" s="1"/>
  <c r="V9" i="33" s="1"/>
  <c r="T10" i="29"/>
  <c r="T10" i="30" s="1"/>
  <c r="T9" i="33" s="1"/>
  <c r="R10" i="29"/>
  <c r="R10" i="30" s="1"/>
  <c r="R9" i="33" s="1"/>
  <c r="P10" i="29"/>
  <c r="P10" i="30" s="1"/>
  <c r="P9" i="33" s="1"/>
  <c r="N10" i="29"/>
  <c r="W10" i="29"/>
  <c r="W10" i="30" s="1"/>
  <c r="W9" i="33" s="1"/>
  <c r="S10" i="29"/>
  <c r="S10" i="30" s="1"/>
  <c r="S9" i="33" s="1"/>
  <c r="O10" i="29"/>
  <c r="O10" i="30" s="1"/>
  <c r="U10" i="29"/>
  <c r="U10" i="30" s="1"/>
  <c r="U9" i="33" s="1"/>
  <c r="Q10" i="29"/>
  <c r="Q10" i="30" s="1"/>
  <c r="Q9" i="33" s="1"/>
  <c r="M10" i="29"/>
  <c r="K14" i="31" l="1"/>
  <c r="O60" i="31"/>
  <c r="O65" i="31" s="1"/>
  <c r="O69" i="31" s="1"/>
  <c r="N14" i="33"/>
  <c r="N7" i="33"/>
  <c r="N7" i="30"/>
  <c r="N8" i="30" s="1"/>
  <c r="N7" i="29"/>
  <c r="N8" i="29" s="1"/>
  <c r="G20" i="29"/>
  <c r="G22" i="30" s="1"/>
  <c r="G52" i="32"/>
  <c r="H52" i="32"/>
  <c r="H20" i="29"/>
  <c r="H22" i="30" s="1"/>
  <c r="E20" i="29"/>
  <c r="E22" i="30" s="1"/>
  <c r="E52" i="32"/>
  <c r="E21" i="33" s="1"/>
  <c r="F52" i="32"/>
  <c r="O12" i="29"/>
  <c r="O14" i="29" s="1"/>
  <c r="F64" i="32"/>
  <c r="G61" i="32"/>
  <c r="H61" i="32"/>
  <c r="E64" i="32"/>
  <c r="E30" i="33"/>
  <c r="F30" i="33" s="1"/>
  <c r="F20" i="29"/>
  <c r="F22" i="30" s="1"/>
  <c r="M10" i="30"/>
  <c r="M9" i="33" s="1"/>
  <c r="M12" i="29"/>
  <c r="N10" i="30"/>
  <c r="N9" i="33" s="1"/>
  <c r="N12" i="29"/>
  <c r="J20" i="29"/>
  <c r="J22" i="30" s="1"/>
  <c r="J52" i="32"/>
  <c r="K40" i="29"/>
  <c r="K61" i="32" s="1"/>
  <c r="K64" i="32" s="1"/>
  <c r="K37" i="29"/>
  <c r="O9" i="33"/>
  <c r="O15" i="30"/>
  <c r="L14" i="29"/>
  <c r="L12" i="30"/>
  <c r="L14" i="30" s="1"/>
  <c r="J56" i="31"/>
  <c r="P12" i="29"/>
  <c r="R4" i="29"/>
  <c r="Q5" i="29"/>
  <c r="L14" i="31" l="1"/>
  <c r="O14" i="31"/>
  <c r="K46" i="31"/>
  <c r="K52" i="31" s="1"/>
  <c r="K54" i="31" s="1"/>
  <c r="K101" i="31" s="1"/>
  <c r="J13" i="33"/>
  <c r="P60" i="31"/>
  <c r="P65" i="31" s="1"/>
  <c r="P69" i="31" s="1"/>
  <c r="O14" i="33"/>
  <c r="O7" i="33"/>
  <c r="O7" i="30"/>
  <c r="O8" i="30" s="1"/>
  <c r="O7" i="29"/>
  <c r="O8" i="29" s="1"/>
  <c r="O12" i="30"/>
  <c r="O14" i="30" s="1"/>
  <c r="O40" i="29"/>
  <c r="O37" i="29"/>
  <c r="G64" i="32"/>
  <c r="G30" i="33"/>
  <c r="H30" i="33" s="1"/>
  <c r="I30" i="33" s="1"/>
  <c r="J30" i="33" s="1"/>
  <c r="K30" i="33" s="1"/>
  <c r="H64" i="32"/>
  <c r="F21" i="33"/>
  <c r="G21" i="33" s="1"/>
  <c r="H21" i="33" s="1"/>
  <c r="I21" i="33" s="1"/>
  <c r="J21" i="33" s="1"/>
  <c r="P14" i="29"/>
  <c r="P12" i="30"/>
  <c r="P14" i="30" s="1"/>
  <c r="L37" i="29"/>
  <c r="L40" i="29"/>
  <c r="L61" i="32" s="1"/>
  <c r="L64" i="32" s="1"/>
  <c r="K52" i="32"/>
  <c r="K20" i="29"/>
  <c r="K22" i="30" s="1"/>
  <c r="N14" i="29"/>
  <c r="N12" i="30"/>
  <c r="N14" i="30" s="1"/>
  <c r="M14" i="29"/>
  <c r="M12" i="30"/>
  <c r="M14" i="30" s="1"/>
  <c r="R5" i="29"/>
  <c r="S4" i="29"/>
  <c r="Q12" i="29"/>
  <c r="M14" i="31" l="1"/>
  <c r="N14" i="31"/>
  <c r="P37" i="29"/>
  <c r="P20" i="29" s="1"/>
  <c r="P22" i="30" s="1"/>
  <c r="P14" i="31"/>
  <c r="K56" i="31"/>
  <c r="Q60" i="31"/>
  <c r="Q65" i="31" s="1"/>
  <c r="Q69" i="31" s="1"/>
  <c r="P14" i="33"/>
  <c r="P7" i="33"/>
  <c r="P7" i="30"/>
  <c r="P8" i="30" s="1"/>
  <c r="P7" i="29"/>
  <c r="P8" i="29" s="1"/>
  <c r="L30" i="33"/>
  <c r="K21" i="33"/>
  <c r="P40" i="29"/>
  <c r="P61" i="32" s="1"/>
  <c r="P64" i="32" s="1"/>
  <c r="Q14" i="29"/>
  <c r="Q12" i="30"/>
  <c r="Q14" i="30" s="1"/>
  <c r="L20" i="29"/>
  <c r="L22" i="30" s="1"/>
  <c r="L52" i="32"/>
  <c r="M40" i="29"/>
  <c r="M61" i="32" s="1"/>
  <c r="M64" i="32" s="1"/>
  <c r="M37" i="29"/>
  <c r="N37" i="29"/>
  <c r="N40" i="29"/>
  <c r="R12" i="29"/>
  <c r="S5" i="29"/>
  <c r="T4" i="29"/>
  <c r="P52" i="32" l="1"/>
  <c r="Q37" i="29"/>
  <c r="Q20" i="29" s="1"/>
  <c r="Q22" i="30" s="1"/>
  <c r="Q14" i="31"/>
  <c r="R60" i="31"/>
  <c r="R65" i="31" s="1"/>
  <c r="R69" i="31" s="1"/>
  <c r="Q14" i="33"/>
  <c r="L46" i="31"/>
  <c r="L52" i="31" s="1"/>
  <c r="K13" i="33"/>
  <c r="Q7" i="33"/>
  <c r="Q7" i="30"/>
  <c r="Q8" i="30" s="1"/>
  <c r="Q7" i="29"/>
  <c r="Q8" i="29" s="1"/>
  <c r="Q40" i="29"/>
  <c r="L21" i="33"/>
  <c r="Q61" i="32"/>
  <c r="Q64" i="32" s="1"/>
  <c r="R14" i="29"/>
  <c r="R12" i="30"/>
  <c r="R14" i="30" s="1"/>
  <c r="N61" i="32"/>
  <c r="N64" i="32" s="1"/>
  <c r="O61" i="32"/>
  <c r="O64" i="32" s="1"/>
  <c r="M52" i="32"/>
  <c r="M20" i="29"/>
  <c r="M22" i="30" s="1"/>
  <c r="N20" i="29"/>
  <c r="N22" i="30" s="1"/>
  <c r="N52" i="32"/>
  <c r="O20" i="29"/>
  <c r="O22" i="30" s="1"/>
  <c r="O52" i="32"/>
  <c r="M30" i="33"/>
  <c r="T5" i="29"/>
  <c r="U4" i="29"/>
  <c r="S12" i="29"/>
  <c r="Q52" i="32" l="1"/>
  <c r="M21" i="33"/>
  <c r="N21" i="33" s="1"/>
  <c r="O21" i="33" s="1"/>
  <c r="P21" i="33" s="1"/>
  <c r="Q21" i="33" s="1"/>
  <c r="R37" i="29"/>
  <c r="R20" i="29" s="1"/>
  <c r="R22" i="30" s="1"/>
  <c r="R14" i="31"/>
  <c r="Q100" i="31"/>
  <c r="Q31" i="32"/>
  <c r="L54" i="31"/>
  <c r="L101" i="31" s="1"/>
  <c r="S60" i="31"/>
  <c r="S65" i="31" s="1"/>
  <c r="S69" i="31" s="1"/>
  <c r="R14" i="33"/>
  <c r="R7" i="33"/>
  <c r="R7" i="30"/>
  <c r="R8" i="30" s="1"/>
  <c r="R7" i="29"/>
  <c r="R8" i="29" s="1"/>
  <c r="R40" i="29"/>
  <c r="R61" i="32" s="1"/>
  <c r="R64" i="32" s="1"/>
  <c r="N30" i="33"/>
  <c r="O30" i="33" s="1"/>
  <c r="P30" i="33" s="1"/>
  <c r="Q30" i="33" s="1"/>
  <c r="S14" i="29"/>
  <c r="S12" i="30"/>
  <c r="S14" i="30" s="1"/>
  <c r="V4" i="29"/>
  <c r="U5" i="29"/>
  <c r="T12" i="29"/>
  <c r="S37" i="29" l="1"/>
  <c r="L56" i="31"/>
  <c r="L13" i="33" s="1"/>
  <c r="R52" i="32"/>
  <c r="R100" i="31"/>
  <c r="R31" i="32"/>
  <c r="M46" i="31"/>
  <c r="M52" i="31" s="1"/>
  <c r="T60" i="31"/>
  <c r="T65" i="31" s="1"/>
  <c r="T69" i="31" s="1"/>
  <c r="S14" i="33"/>
  <c r="S7" i="33"/>
  <c r="S7" i="30"/>
  <c r="S8" i="30" s="1"/>
  <c r="S7" i="29"/>
  <c r="S8" i="29" s="1"/>
  <c r="R30" i="33"/>
  <c r="S40" i="29"/>
  <c r="S61" i="32" s="1"/>
  <c r="S64" i="32" s="1"/>
  <c r="R21" i="33"/>
  <c r="T14" i="29"/>
  <c r="T12" i="30"/>
  <c r="T14" i="30" s="1"/>
  <c r="S20" i="29"/>
  <c r="S22" i="30" s="1"/>
  <c r="S52" i="32"/>
  <c r="V5" i="29"/>
  <c r="W4" i="29"/>
  <c r="W5" i="29" s="1"/>
  <c r="U12" i="29"/>
  <c r="T37" i="29" l="1"/>
  <c r="U60" i="31"/>
  <c r="U65" i="31" s="1"/>
  <c r="U69" i="31" s="1"/>
  <c r="T14" i="33"/>
  <c r="M54" i="31"/>
  <c r="M101" i="31" s="1"/>
  <c r="T7" i="33"/>
  <c r="T7" i="30"/>
  <c r="T8" i="30" s="1"/>
  <c r="T7" i="29"/>
  <c r="T8" i="29" s="1"/>
  <c r="S30" i="33"/>
  <c r="T40" i="29"/>
  <c r="T61" i="32" s="1"/>
  <c r="T64" i="32" s="1"/>
  <c r="U14" i="29"/>
  <c r="U37" i="29" s="1"/>
  <c r="U12" i="30"/>
  <c r="U14" i="30" s="1"/>
  <c r="T20" i="29"/>
  <c r="T22" i="30" s="1"/>
  <c r="T52" i="32"/>
  <c r="S21" i="33"/>
  <c r="W12" i="29"/>
  <c r="V12" i="29"/>
  <c r="M56" i="31" l="1"/>
  <c r="N46" i="31"/>
  <c r="N52" i="31" s="1"/>
  <c r="M13" i="33"/>
  <c r="V60" i="31"/>
  <c r="V65" i="31" s="1"/>
  <c r="V69" i="31" s="1"/>
  <c r="U14" i="33"/>
  <c r="U7" i="33"/>
  <c r="U7" i="30"/>
  <c r="U8" i="30" s="1"/>
  <c r="U7" i="29"/>
  <c r="U8" i="29" s="1"/>
  <c r="U40" i="29"/>
  <c r="U61" i="32" s="1"/>
  <c r="U64" i="32" s="1"/>
  <c r="T21" i="33"/>
  <c r="T30" i="33"/>
  <c r="V14" i="29"/>
  <c r="V12" i="30"/>
  <c r="V14" i="30" s="1"/>
  <c r="W14" i="29"/>
  <c r="W37" i="29" s="1"/>
  <c r="W12" i="30"/>
  <c r="AE11" i="30" s="1"/>
  <c r="U20" i="29"/>
  <c r="U22" i="30" s="1"/>
  <c r="U52" i="32"/>
  <c r="W14" i="30" l="1"/>
  <c r="W60" i="31"/>
  <c r="W65" i="31" s="1"/>
  <c r="W69" i="31" s="1"/>
  <c r="W14" i="33" s="1"/>
  <c r="V14" i="33"/>
  <c r="N54" i="31"/>
  <c r="N101" i="31" s="1"/>
  <c r="V7" i="33"/>
  <c r="V7" i="30"/>
  <c r="V8" i="30" s="1"/>
  <c r="V7" i="29"/>
  <c r="V8" i="29" s="1"/>
  <c r="W7" i="33"/>
  <c r="W7" i="30"/>
  <c r="W8" i="30" s="1"/>
  <c r="W7" i="29"/>
  <c r="W8" i="29" s="1"/>
  <c r="U30" i="33"/>
  <c r="V40" i="29"/>
  <c r="V61" i="32" s="1"/>
  <c r="V64" i="32" s="1"/>
  <c r="V37" i="29"/>
  <c r="V52" i="32" s="1"/>
  <c r="W40" i="29"/>
  <c r="W61" i="32" s="1"/>
  <c r="W64" i="32" s="1"/>
  <c r="U21" i="33"/>
  <c r="N56" i="31" l="1"/>
  <c r="V30" i="33"/>
  <c r="W20" i="29"/>
  <c r="W22" i="30" s="1"/>
  <c r="W52" i="32"/>
  <c r="V20" i="29"/>
  <c r="V22" i="30" s="1"/>
  <c r="W30" i="33"/>
  <c r="V21" i="33"/>
  <c r="O46" i="31" l="1"/>
  <c r="O52" i="31" s="1"/>
  <c r="N13" i="33"/>
  <c r="W21" i="33"/>
  <c r="O54" i="31" l="1"/>
  <c r="O101" i="31" s="1"/>
  <c r="O56" i="31" l="1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H24" i="16"/>
  <c r="G24" i="16"/>
  <c r="F24" i="16"/>
  <c r="E24" i="16"/>
  <c r="P46" i="31" l="1"/>
  <c r="P52" i="31" s="1"/>
  <c r="O13" i="33"/>
  <c r="P54" i="31" l="1"/>
  <c r="P101" i="31" s="1"/>
  <c r="P56" i="31" l="1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H30" i="18"/>
  <c r="G30" i="18"/>
  <c r="F30" i="18"/>
  <c r="E30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35" i="18"/>
  <c r="D26" i="18"/>
  <c r="D20" i="18"/>
  <c r="D8" i="16"/>
  <c r="E27" i="17"/>
  <c r="E35" i="18" s="1"/>
  <c r="D31" i="15"/>
  <c r="D31" i="17"/>
  <c r="D34" i="18" l="1"/>
  <c r="Q46" i="31"/>
  <c r="Q52" i="31" s="1"/>
  <c r="P13" i="33"/>
  <c r="N17" i="5"/>
  <c r="O17" i="5"/>
  <c r="K17" i="5"/>
  <c r="M17" i="5"/>
  <c r="J17" i="5"/>
  <c r="L17" i="5"/>
  <c r="I17" i="5"/>
  <c r="C39" i="10"/>
  <c r="C40" i="10"/>
  <c r="C41" i="10"/>
  <c r="Q54" i="31" l="1"/>
  <c r="Q101" i="31" s="1"/>
  <c r="D5" i="18"/>
  <c r="D5" i="16"/>
  <c r="D5" i="15"/>
  <c r="D5" i="17"/>
  <c r="D5" i="14"/>
  <c r="Q56" i="31" l="1"/>
  <c r="E54" i="18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E4" i="18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R46" i="31" l="1"/>
  <c r="R52" i="31" s="1"/>
  <c r="Q13" i="33"/>
  <c r="R54" i="31" l="1"/>
  <c r="R101" i="31" s="1"/>
  <c r="W36" i="17"/>
  <c r="W36" i="18" s="1"/>
  <c r="V36" i="17"/>
  <c r="V36" i="18" s="1"/>
  <c r="U36" i="17"/>
  <c r="U36" i="18" s="1"/>
  <c r="T36" i="17"/>
  <c r="T36" i="18" s="1"/>
  <c r="S36" i="17"/>
  <c r="S36" i="18" s="1"/>
  <c r="R36" i="17"/>
  <c r="R36" i="18" s="1"/>
  <c r="Q36" i="17"/>
  <c r="Q36" i="18" s="1"/>
  <c r="P36" i="17"/>
  <c r="P36" i="18" s="1"/>
  <c r="O36" i="17"/>
  <c r="O36" i="18" s="1"/>
  <c r="N36" i="17"/>
  <c r="N36" i="18" s="1"/>
  <c r="M36" i="17"/>
  <c r="M36" i="18" s="1"/>
  <c r="L36" i="17"/>
  <c r="L36" i="18" s="1"/>
  <c r="K36" i="17"/>
  <c r="K36" i="18" s="1"/>
  <c r="J36" i="17"/>
  <c r="J36" i="18" s="1"/>
  <c r="I36" i="17"/>
  <c r="I36" i="18" s="1"/>
  <c r="H36" i="17"/>
  <c r="H36" i="18" s="1"/>
  <c r="G36" i="17"/>
  <c r="G36" i="18" s="1"/>
  <c r="F36" i="17"/>
  <c r="F36" i="18" s="1"/>
  <c r="E36" i="17"/>
  <c r="E36" i="18" s="1"/>
  <c r="D36" i="17"/>
  <c r="D36" i="18" s="1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R56" i="31" l="1"/>
  <c r="M31" i="18"/>
  <c r="U31" i="18"/>
  <c r="L31" i="18"/>
  <c r="T31" i="18"/>
  <c r="V31" i="18"/>
  <c r="N31" i="18"/>
  <c r="O31" i="18"/>
  <c r="P31" i="18"/>
  <c r="W31" i="18"/>
  <c r="Q31" i="18"/>
  <c r="R31" i="18"/>
  <c r="K31" i="18"/>
  <c r="S31" i="18"/>
  <c r="E4" i="17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V4" i="17" s="1"/>
  <c r="W4" i="17" s="1"/>
  <c r="D16" i="12"/>
  <c r="E4" i="16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S46" i="31" l="1"/>
  <c r="S52" i="31" s="1"/>
  <c r="R13" i="33"/>
  <c r="D187" i="7"/>
  <c r="C187" i="7"/>
  <c r="D186" i="7"/>
  <c r="C186" i="7"/>
  <c r="D185" i="7"/>
  <c r="C185" i="7"/>
  <c r="D184" i="7"/>
  <c r="C184" i="7"/>
  <c r="D183" i="7"/>
  <c r="C183" i="7"/>
  <c r="D182" i="7"/>
  <c r="C182" i="7"/>
  <c r="D181" i="7"/>
  <c r="C181" i="7"/>
  <c r="D180" i="7"/>
  <c r="C180" i="7"/>
  <c r="D179" i="7"/>
  <c r="C179" i="7"/>
  <c r="D178" i="7"/>
  <c r="C178" i="7"/>
  <c r="C197" i="7"/>
  <c r="D196" i="7"/>
  <c r="E194" i="7"/>
  <c r="D193" i="7"/>
  <c r="C193" i="7"/>
  <c r="D192" i="7"/>
  <c r="C192" i="7"/>
  <c r="D191" i="7"/>
  <c r="C191" i="7"/>
  <c r="C189" i="7"/>
  <c r="C188" i="7"/>
  <c r="D177" i="7"/>
  <c r="C177" i="7"/>
  <c r="C168" i="7"/>
  <c r="D167" i="7"/>
  <c r="E165" i="7"/>
  <c r="D164" i="7"/>
  <c r="C164" i="7"/>
  <c r="D163" i="7"/>
  <c r="C163" i="7"/>
  <c r="C161" i="7"/>
  <c r="C160" i="7"/>
  <c r="D159" i="7"/>
  <c r="C159" i="7"/>
  <c r="D158" i="7"/>
  <c r="C158" i="7"/>
  <c r="D157" i="7"/>
  <c r="C157" i="7"/>
  <c r="D156" i="7"/>
  <c r="C156" i="7"/>
  <c r="D154" i="7"/>
  <c r="C154" i="7"/>
  <c r="D153" i="7"/>
  <c r="C153" i="7"/>
  <c r="D152" i="7"/>
  <c r="C152" i="7"/>
  <c r="D151" i="7"/>
  <c r="C151" i="7"/>
  <c r="E113" i="7"/>
  <c r="E139" i="7"/>
  <c r="C142" i="7"/>
  <c r="D141" i="7"/>
  <c r="D138" i="7"/>
  <c r="D137" i="7"/>
  <c r="C138" i="7"/>
  <c r="C137" i="7"/>
  <c r="D130" i="7"/>
  <c r="C130" i="7"/>
  <c r="D129" i="7"/>
  <c r="C129" i="7"/>
  <c r="C135" i="7"/>
  <c r="C134" i="7"/>
  <c r="D133" i="7"/>
  <c r="C133" i="7"/>
  <c r="D132" i="7"/>
  <c r="C132" i="7"/>
  <c r="D131" i="7"/>
  <c r="C131" i="7"/>
  <c r="D128" i="7"/>
  <c r="C128" i="7"/>
  <c r="D127" i="7"/>
  <c r="C127" i="7"/>
  <c r="D126" i="7"/>
  <c r="C126" i="7"/>
  <c r="C117" i="7"/>
  <c r="D116" i="7"/>
  <c r="D115" i="7"/>
  <c r="D112" i="7"/>
  <c r="C112" i="7"/>
  <c r="D111" i="7"/>
  <c r="C111" i="7"/>
  <c r="C110" i="7"/>
  <c r="C108" i="7"/>
  <c r="E108" i="7" s="1"/>
  <c r="C106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C96" i="7"/>
  <c r="D96" i="7"/>
  <c r="D95" i="7"/>
  <c r="C95" i="7"/>
  <c r="D94" i="7"/>
  <c r="C94" i="7"/>
  <c r="C66" i="7"/>
  <c r="C65" i="7"/>
  <c r="D64" i="7"/>
  <c r="C64" i="7"/>
  <c r="D63" i="7"/>
  <c r="C63" i="7"/>
  <c r="D62" i="7"/>
  <c r="D61" i="7"/>
  <c r="C61" i="7"/>
  <c r="D60" i="7"/>
  <c r="C60" i="7"/>
  <c r="D59" i="7"/>
  <c r="D58" i="7"/>
  <c r="D57" i="7"/>
  <c r="C59" i="7"/>
  <c r="C58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D50" i="7"/>
  <c r="C50" i="7"/>
  <c r="C85" i="7"/>
  <c r="E76" i="7"/>
  <c r="D75" i="7"/>
  <c r="C75" i="7"/>
  <c r="D74" i="7"/>
  <c r="C74" i="7"/>
  <c r="C72" i="7"/>
  <c r="E72" i="7" s="1"/>
  <c r="E71" i="7"/>
  <c r="D69" i="7"/>
  <c r="C69" i="7"/>
  <c r="E138" i="7" l="1"/>
  <c r="E164" i="7"/>
  <c r="E178" i="7"/>
  <c r="E179" i="7"/>
  <c r="E180" i="7"/>
  <c r="E181" i="7"/>
  <c r="E182" i="7"/>
  <c r="E183" i="7"/>
  <c r="E184" i="7"/>
  <c r="E185" i="7"/>
  <c r="E186" i="7"/>
  <c r="E187" i="7"/>
  <c r="S54" i="31"/>
  <c r="S101" i="31" s="1"/>
  <c r="E193" i="7"/>
  <c r="E189" i="7"/>
  <c r="E177" i="7"/>
  <c r="E188" i="7"/>
  <c r="E75" i="7"/>
  <c r="E58" i="7"/>
  <c r="E63" i="7"/>
  <c r="E64" i="7"/>
  <c r="E95" i="7"/>
  <c r="E97" i="7"/>
  <c r="E98" i="7"/>
  <c r="E99" i="7"/>
  <c r="E100" i="7"/>
  <c r="E101" i="7"/>
  <c r="E102" i="7"/>
  <c r="E103" i="7"/>
  <c r="E104" i="7"/>
  <c r="E158" i="7"/>
  <c r="E159" i="7"/>
  <c r="E151" i="7"/>
  <c r="E152" i="7"/>
  <c r="E153" i="7"/>
  <c r="E154" i="7"/>
  <c r="E156" i="7"/>
  <c r="E161" i="7"/>
  <c r="E160" i="7"/>
  <c r="E157" i="7"/>
  <c r="E134" i="7"/>
  <c r="E126" i="7"/>
  <c r="E135" i="7"/>
  <c r="E127" i="7"/>
  <c r="E128" i="7"/>
  <c r="E131" i="7"/>
  <c r="E132" i="7"/>
  <c r="E133" i="7"/>
  <c r="E129" i="7"/>
  <c r="E130" i="7"/>
  <c r="E105" i="7"/>
  <c r="E106" i="7"/>
  <c r="E94" i="7"/>
  <c r="E96" i="7"/>
  <c r="E110" i="7"/>
  <c r="E112" i="7"/>
  <c r="E50" i="7"/>
  <c r="E51" i="7"/>
  <c r="E52" i="7"/>
  <c r="E53" i="7"/>
  <c r="E54" i="7"/>
  <c r="E55" i="7"/>
  <c r="E56" i="7"/>
  <c r="E57" i="7"/>
  <c r="E59" i="7"/>
  <c r="E60" i="7"/>
  <c r="E61" i="7"/>
  <c r="E137" i="7"/>
  <c r="E192" i="7"/>
  <c r="E191" i="7"/>
  <c r="E163" i="7"/>
  <c r="E111" i="7"/>
  <c r="E74" i="7"/>
  <c r="E69" i="7"/>
  <c r="E4" i="15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C41" i="7"/>
  <c r="E4" i="14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C95" i="12"/>
  <c r="C81" i="12"/>
  <c r="C68" i="12"/>
  <c r="C55" i="12"/>
  <c r="C41" i="12"/>
  <c r="E4" i="12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E16" i="12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E197" i="7" l="1"/>
  <c r="S56" i="31"/>
  <c r="E168" i="7"/>
  <c r="E142" i="7"/>
  <c r="E117" i="7"/>
  <c r="E82" i="7"/>
  <c r="E141" i="7"/>
  <c r="E81" i="7"/>
  <c r="E145" i="7"/>
  <c r="E115" i="7"/>
  <c r="E167" i="7"/>
  <c r="E84" i="7"/>
  <c r="E83" i="7"/>
  <c r="E196" i="7"/>
  <c r="E116" i="7"/>
  <c r="E200" i="7"/>
  <c r="E171" i="7"/>
  <c r="T46" i="31" l="1"/>
  <c r="T52" i="31" s="1"/>
  <c r="S13" i="33"/>
  <c r="D64" i="12"/>
  <c r="D51" i="12"/>
  <c r="D53" i="12" s="1"/>
  <c r="D55" i="12" s="1"/>
  <c r="D57" i="12" s="1"/>
  <c r="E4" i="10"/>
  <c r="T54" i="31" l="1"/>
  <c r="T101" i="31" s="1"/>
  <c r="F4" i="10"/>
  <c r="E80" i="7"/>
  <c r="E79" i="7"/>
  <c r="E47" i="12"/>
  <c r="D13" i="15"/>
  <c r="D66" i="12"/>
  <c r="D68" i="12"/>
  <c r="T56" i="31" l="1"/>
  <c r="E5" i="32"/>
  <c r="E5" i="33"/>
  <c r="E5" i="30"/>
  <c r="I18" i="29"/>
  <c r="I17" i="30" s="1"/>
  <c r="J18" i="29"/>
  <c r="J17" i="30" s="1"/>
  <c r="G18" i="29"/>
  <c r="G17" i="30" s="1"/>
  <c r="H18" i="29"/>
  <c r="H17" i="30" s="1"/>
  <c r="K18" i="29"/>
  <c r="K17" i="30" s="1"/>
  <c r="L18" i="29"/>
  <c r="L17" i="30" s="1"/>
  <c r="M18" i="29"/>
  <c r="M17" i="30" s="1"/>
  <c r="N18" i="29"/>
  <c r="N17" i="30" s="1"/>
  <c r="O18" i="29"/>
  <c r="O17" i="30" s="1"/>
  <c r="P18" i="29"/>
  <c r="P17" i="30" s="1"/>
  <c r="Q18" i="29"/>
  <c r="Q17" i="30" s="1"/>
  <c r="R18" i="29"/>
  <c r="R17" i="30" s="1"/>
  <c r="S18" i="29"/>
  <c r="S17" i="30" s="1"/>
  <c r="T18" i="29"/>
  <c r="T17" i="30" s="1"/>
  <c r="U18" i="29"/>
  <c r="U17" i="30" s="1"/>
  <c r="V18" i="29"/>
  <c r="V17" i="30" s="1"/>
  <c r="W18" i="29"/>
  <c r="W17" i="30" s="1"/>
  <c r="E64" i="12"/>
  <c r="D37" i="12"/>
  <c r="D41" i="12" s="1"/>
  <c r="E5" i="18"/>
  <c r="E5" i="16"/>
  <c r="E5" i="15"/>
  <c r="E5" i="17"/>
  <c r="E5" i="14"/>
  <c r="G4" i="10"/>
  <c r="E78" i="7"/>
  <c r="D70" i="12"/>
  <c r="C42" i="7"/>
  <c r="U46" i="31" l="1"/>
  <c r="U52" i="31" s="1"/>
  <c r="T13" i="33"/>
  <c r="F5" i="33"/>
  <c r="F5" i="30"/>
  <c r="F5" i="32"/>
  <c r="D39" i="12"/>
  <c r="D43" i="12" s="1"/>
  <c r="F64" i="12"/>
  <c r="E68" i="12"/>
  <c r="F5" i="18"/>
  <c r="F5" i="16"/>
  <c r="F5" i="15"/>
  <c r="F5" i="17"/>
  <c r="F5" i="14"/>
  <c r="H4" i="10"/>
  <c r="E61" i="12"/>
  <c r="E66" i="12" s="1"/>
  <c r="C24" i="7"/>
  <c r="C25" i="7" s="1"/>
  <c r="C26" i="7" s="1"/>
  <c r="C27" i="7" s="1"/>
  <c r="C28" i="7" s="1"/>
  <c r="C29" i="7" s="1"/>
  <c r="C30" i="7" s="1"/>
  <c r="C31" i="7" s="1"/>
  <c r="C32" i="7" s="1"/>
  <c r="F15" i="7"/>
  <c r="F14" i="7"/>
  <c r="G14" i="7" s="1"/>
  <c r="H14" i="7" s="1"/>
  <c r="F13" i="7"/>
  <c r="G13" i="7" s="1"/>
  <c r="H13" i="7" s="1"/>
  <c r="F12" i="7"/>
  <c r="G12" i="7" s="1"/>
  <c r="F11" i="7"/>
  <c r="G11" i="7" s="1"/>
  <c r="H11" i="7" s="1"/>
  <c r="F10" i="7"/>
  <c r="G10" i="7" s="1"/>
  <c r="H10" i="7" s="1"/>
  <c r="G4" i="7"/>
  <c r="U54" i="31" l="1"/>
  <c r="U101" i="31" s="1"/>
  <c r="G5" i="32"/>
  <c r="G5" i="33"/>
  <c r="G5" i="30"/>
  <c r="H4" i="7"/>
  <c r="G64" i="12"/>
  <c r="G68" i="12" s="1"/>
  <c r="E70" i="12"/>
  <c r="F68" i="12"/>
  <c r="G5" i="18"/>
  <c r="G5" i="16"/>
  <c r="G5" i="15"/>
  <c r="G5" i="17"/>
  <c r="G5" i="14"/>
  <c r="I4" i="10"/>
  <c r="C62" i="7"/>
  <c r="D67" i="7" s="1"/>
  <c r="E31" i="12"/>
  <c r="U56" i="31" l="1"/>
  <c r="H5" i="33"/>
  <c r="H5" i="30"/>
  <c r="H5" i="32"/>
  <c r="E62" i="7"/>
  <c r="E65" i="7"/>
  <c r="E66" i="7"/>
  <c r="I4" i="7"/>
  <c r="H64" i="12"/>
  <c r="H68" i="12" s="1"/>
  <c r="F61" i="12"/>
  <c r="F66" i="12" s="1"/>
  <c r="F70" i="12" s="1"/>
  <c r="G61" i="12" s="1"/>
  <c r="G66" i="12" s="1"/>
  <c r="G70" i="12" s="1"/>
  <c r="H5" i="17"/>
  <c r="H5" i="14"/>
  <c r="H5" i="18"/>
  <c r="H5" i="16"/>
  <c r="H5" i="15"/>
  <c r="J4" i="10"/>
  <c r="I5" i="10"/>
  <c r="E26" i="5"/>
  <c r="F26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V46" i="31" l="1"/>
  <c r="V52" i="31" s="1"/>
  <c r="U13" i="33"/>
  <c r="E85" i="7"/>
  <c r="I5" i="32"/>
  <c r="I5" i="33"/>
  <c r="I5" i="30"/>
  <c r="J4" i="7"/>
  <c r="I64" i="12"/>
  <c r="E144" i="7"/>
  <c r="E146" i="7"/>
  <c r="E170" i="7"/>
  <c r="E121" i="7"/>
  <c r="I5" i="18"/>
  <c r="I5" i="16"/>
  <c r="I5" i="15"/>
  <c r="I5" i="17"/>
  <c r="I5" i="14"/>
  <c r="E119" i="7"/>
  <c r="E199" i="7"/>
  <c r="K4" i="10"/>
  <c r="J5" i="10"/>
  <c r="E172" i="7"/>
  <c r="E201" i="7"/>
  <c r="H61" i="12"/>
  <c r="H66" i="12" s="1"/>
  <c r="H70" i="12" s="1"/>
  <c r="E87" i="7"/>
  <c r="E89" i="7"/>
  <c r="E9" i="5"/>
  <c r="F9" i="5" s="1"/>
  <c r="G9" i="5" s="1"/>
  <c r="H9" i="5" s="1"/>
  <c r="I9" i="5" s="1"/>
  <c r="J9" i="5" s="1"/>
  <c r="K9" i="5" s="1"/>
  <c r="L9" i="5" s="1"/>
  <c r="M9" i="5" s="1"/>
  <c r="N9" i="5" s="1"/>
  <c r="O9" i="5" s="1"/>
  <c r="V54" i="31" l="1"/>
  <c r="V101" i="31" s="1"/>
  <c r="J5" i="33"/>
  <c r="J5" i="30"/>
  <c r="J5" i="32"/>
  <c r="K4" i="7"/>
  <c r="J64" i="12"/>
  <c r="E147" i="7"/>
  <c r="E173" i="7"/>
  <c r="I68" i="12"/>
  <c r="J5" i="18"/>
  <c r="J5" i="16"/>
  <c r="J5" i="15"/>
  <c r="J5" i="17"/>
  <c r="J5" i="14"/>
  <c r="E202" i="7"/>
  <c r="L4" i="10"/>
  <c r="K5" i="10"/>
  <c r="I61" i="12"/>
  <c r="I66" i="12" s="1"/>
  <c r="V56" i="31" l="1"/>
  <c r="W46" i="31" s="1"/>
  <c r="W52" i="31" s="1"/>
  <c r="V13" i="33"/>
  <c r="K5" i="32"/>
  <c r="K5" i="33"/>
  <c r="K5" i="30"/>
  <c r="L4" i="7"/>
  <c r="G15" i="7"/>
  <c r="H15" i="7" s="1"/>
  <c r="I15" i="7" s="1"/>
  <c r="K64" i="12"/>
  <c r="F17" i="7"/>
  <c r="J68" i="12"/>
  <c r="I70" i="12"/>
  <c r="K5" i="18"/>
  <c r="K5" i="16"/>
  <c r="K5" i="15"/>
  <c r="K5" i="17"/>
  <c r="K5" i="14"/>
  <c r="M4" i="10"/>
  <c r="L5" i="10"/>
  <c r="D7" i="10" l="1"/>
  <c r="D10" i="18"/>
  <c r="D8" i="14"/>
  <c r="W54" i="31"/>
  <c r="W101" i="31" s="1"/>
  <c r="L5" i="33"/>
  <c r="L5" i="30"/>
  <c r="L5" i="32"/>
  <c r="M4" i="7"/>
  <c r="D17" i="5"/>
  <c r="L64" i="12"/>
  <c r="J61" i="12"/>
  <c r="J66" i="12" s="1"/>
  <c r="J70" i="12" s="1"/>
  <c r="K61" i="12" s="1"/>
  <c r="K66" i="12" s="1"/>
  <c r="I14" i="7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K68" i="12"/>
  <c r="L5" i="14"/>
  <c r="L5" i="18"/>
  <c r="L5" i="16"/>
  <c r="L5" i="15"/>
  <c r="L5" i="17"/>
  <c r="N4" i="10"/>
  <c r="M5" i="10"/>
  <c r="D7" i="15"/>
  <c r="D8" i="10"/>
  <c r="F18" i="7"/>
  <c r="F68" i="7" s="1"/>
  <c r="I155" i="7" l="1"/>
  <c r="D7" i="14"/>
  <c r="W56" i="31"/>
  <c r="W13" i="33" s="1"/>
  <c r="M5" i="32"/>
  <c r="M5" i="33"/>
  <c r="M5" i="30"/>
  <c r="N4" i="7"/>
  <c r="M64" i="12"/>
  <c r="K70" i="12"/>
  <c r="L61" i="12" s="1"/>
  <c r="L66" i="12" s="1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H17" i="5"/>
  <c r="I10" i="7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I13" i="7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I11" i="7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H12" i="7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Y12" i="7" s="1"/>
  <c r="L68" i="12"/>
  <c r="M5" i="18"/>
  <c r="M5" i="16"/>
  <c r="M5" i="15"/>
  <c r="M5" i="17"/>
  <c r="M5" i="14"/>
  <c r="O4" i="10"/>
  <c r="N5" i="10"/>
  <c r="J177" i="7"/>
  <c r="J192" i="7"/>
  <c r="J196" i="7"/>
  <c r="J178" i="7"/>
  <c r="J180" i="7"/>
  <c r="J183" i="7"/>
  <c r="J184" i="7"/>
  <c r="J191" i="7"/>
  <c r="J193" i="7"/>
  <c r="J179" i="7"/>
  <c r="J182" i="7"/>
  <c r="J186" i="7"/>
  <c r="J181" i="7"/>
  <c r="J185" i="7"/>
  <c r="J187" i="7"/>
  <c r="J194" i="7"/>
  <c r="J188" i="7"/>
  <c r="J189" i="7"/>
  <c r="J197" i="7"/>
  <c r="I151" i="7"/>
  <c r="I156" i="7"/>
  <c r="I167" i="7"/>
  <c r="I164" i="7"/>
  <c r="I152" i="7"/>
  <c r="I163" i="7"/>
  <c r="I154" i="7"/>
  <c r="I153" i="7"/>
  <c r="I158" i="7"/>
  <c r="I157" i="7"/>
  <c r="I165" i="7"/>
  <c r="I159" i="7"/>
  <c r="I168" i="7"/>
  <c r="I160" i="7"/>
  <c r="I161" i="7"/>
  <c r="H139" i="7"/>
  <c r="H137" i="7"/>
  <c r="H127" i="7"/>
  <c r="H131" i="7"/>
  <c r="H128" i="7"/>
  <c r="H133" i="7"/>
  <c r="H138" i="7"/>
  <c r="H141" i="7"/>
  <c r="H130" i="7"/>
  <c r="H132" i="7"/>
  <c r="H135" i="7"/>
  <c r="H129" i="7"/>
  <c r="H126" i="7"/>
  <c r="H134" i="7"/>
  <c r="H142" i="7"/>
  <c r="G113" i="7"/>
  <c r="G116" i="7"/>
  <c r="G104" i="7"/>
  <c r="G111" i="7"/>
  <c r="G115" i="7"/>
  <c r="G94" i="7"/>
  <c r="G102" i="7"/>
  <c r="G99" i="7"/>
  <c r="G108" i="7"/>
  <c r="G110" i="7"/>
  <c r="G101" i="7"/>
  <c r="G103" i="7"/>
  <c r="G98" i="7"/>
  <c r="G95" i="7"/>
  <c r="G105" i="7"/>
  <c r="G112" i="7"/>
  <c r="G96" i="7"/>
  <c r="G106" i="7"/>
  <c r="G100" i="7"/>
  <c r="G97" i="7"/>
  <c r="G117" i="7"/>
  <c r="F82" i="7"/>
  <c r="F84" i="7"/>
  <c r="F78" i="7"/>
  <c r="F80" i="7"/>
  <c r="F66" i="7"/>
  <c r="F71" i="7"/>
  <c r="F74" i="7"/>
  <c r="F75" i="7"/>
  <c r="F76" i="7"/>
  <c r="F79" i="7"/>
  <c r="F81" i="7"/>
  <c r="F83" i="7"/>
  <c r="F65" i="7"/>
  <c r="F69" i="7"/>
  <c r="F72" i="7"/>
  <c r="F57" i="7"/>
  <c r="F53" i="7"/>
  <c r="F51" i="7"/>
  <c r="F59" i="7"/>
  <c r="F63" i="7"/>
  <c r="F56" i="7"/>
  <c r="F62" i="7"/>
  <c r="F52" i="7"/>
  <c r="F60" i="7"/>
  <c r="F55" i="7"/>
  <c r="F61" i="7"/>
  <c r="F54" i="7"/>
  <c r="F58" i="7"/>
  <c r="F64" i="7"/>
  <c r="F50" i="7"/>
  <c r="F85" i="7"/>
  <c r="N23" i="7"/>
  <c r="X23" i="7"/>
  <c r="P23" i="7"/>
  <c r="G23" i="7"/>
  <c r="K23" i="7"/>
  <c r="O23" i="7"/>
  <c r="T23" i="7"/>
  <c r="U23" i="7"/>
  <c r="R23" i="7"/>
  <c r="J23" i="7"/>
  <c r="H23" i="7"/>
  <c r="H40" i="7" s="1"/>
  <c r="H219" i="7" s="1"/>
  <c r="M23" i="7"/>
  <c r="S23" i="7"/>
  <c r="L23" i="7"/>
  <c r="W23" i="7"/>
  <c r="V23" i="7"/>
  <c r="Q23" i="7"/>
  <c r="Y23" i="7"/>
  <c r="I23" i="7"/>
  <c r="J218" i="7" l="1"/>
  <c r="N5" i="33"/>
  <c r="N5" i="30"/>
  <c r="N5" i="32"/>
  <c r="O4" i="7"/>
  <c r="L70" i="12"/>
  <c r="M61" i="12" s="1"/>
  <c r="M66" i="12" s="1"/>
  <c r="N64" i="12"/>
  <c r="F34" i="7"/>
  <c r="D10" i="10" s="1"/>
  <c r="G17" i="5"/>
  <c r="F17" i="5"/>
  <c r="E17" i="5"/>
  <c r="M68" i="12"/>
  <c r="N5" i="18"/>
  <c r="N5" i="16"/>
  <c r="N5" i="15"/>
  <c r="N5" i="17"/>
  <c r="N5" i="14"/>
  <c r="P4" i="10"/>
  <c r="O5" i="10"/>
  <c r="H145" i="7"/>
  <c r="J200" i="7"/>
  <c r="J201" i="7"/>
  <c r="J199" i="7"/>
  <c r="I171" i="7"/>
  <c r="I172" i="7"/>
  <c r="I170" i="7"/>
  <c r="H146" i="7"/>
  <c r="H144" i="7"/>
  <c r="G119" i="7"/>
  <c r="G121" i="7"/>
  <c r="F89" i="7"/>
  <c r="F207" i="7" s="1"/>
  <c r="F87" i="7"/>
  <c r="F205" i="7" s="1"/>
  <c r="F41" i="7"/>
  <c r="D110" i="37" l="1"/>
  <c r="V13" i="31"/>
  <c r="V25" i="32" s="1"/>
  <c r="U13" i="31"/>
  <c r="U25" i="32" s="1"/>
  <c r="Q13" i="31"/>
  <c r="M13" i="31"/>
  <c r="I13" i="31"/>
  <c r="E13" i="31"/>
  <c r="R13" i="31"/>
  <c r="N13" i="31"/>
  <c r="J13" i="31"/>
  <c r="F13" i="31"/>
  <c r="W13" i="31"/>
  <c r="W25" i="32" s="1"/>
  <c r="S13" i="31"/>
  <c r="O13" i="31"/>
  <c r="K13" i="31"/>
  <c r="G13" i="31"/>
  <c r="T13" i="31"/>
  <c r="P13" i="31"/>
  <c r="L13" i="31"/>
  <c r="H13" i="31"/>
  <c r="O5" i="32"/>
  <c r="O5" i="33"/>
  <c r="O5" i="30"/>
  <c r="D111" i="37"/>
  <c r="F110" i="37"/>
  <c r="E111" i="37" s="1"/>
  <c r="E114" i="37" s="1"/>
  <c r="F42" i="7"/>
  <c r="D12" i="10"/>
  <c r="D10" i="14"/>
  <c r="D9" i="15" s="1"/>
  <c r="P4" i="7"/>
  <c r="D18" i="10"/>
  <c r="O64" i="12"/>
  <c r="G41" i="7"/>
  <c r="M70" i="12"/>
  <c r="N61" i="12" s="1"/>
  <c r="N66" i="12" s="1"/>
  <c r="G17" i="7"/>
  <c r="N68" i="12"/>
  <c r="O5" i="18"/>
  <c r="O5" i="16"/>
  <c r="O5" i="15"/>
  <c r="O5" i="17"/>
  <c r="O5" i="14"/>
  <c r="Q4" i="10"/>
  <c r="P5" i="10"/>
  <c r="H147" i="7"/>
  <c r="I173" i="7"/>
  <c r="J202" i="7"/>
  <c r="J212" i="7" s="1"/>
  <c r="G224" i="7" l="1"/>
  <c r="G229" i="7" s="1"/>
  <c r="G223" i="7"/>
  <c r="G228" i="7" s="1"/>
  <c r="P25" i="32"/>
  <c r="O25" i="32"/>
  <c r="R25" i="32"/>
  <c r="Q25" i="32"/>
  <c r="L25" i="32"/>
  <c r="T25" i="32"/>
  <c r="K25" i="32"/>
  <c r="S25" i="32"/>
  <c r="N25" i="32"/>
  <c r="M25" i="32"/>
  <c r="E7" i="10"/>
  <c r="E8" i="14"/>
  <c r="E10" i="18"/>
  <c r="D57" i="37"/>
  <c r="C43" i="28" s="1"/>
  <c r="P5" i="33"/>
  <c r="P5" i="30"/>
  <c r="P5" i="32"/>
  <c r="D12" i="14"/>
  <c r="D14" i="14" s="1"/>
  <c r="D14" i="10"/>
  <c r="Q4" i="7"/>
  <c r="P64" i="12"/>
  <c r="P68" i="12" s="1"/>
  <c r="G18" i="10"/>
  <c r="D77" i="12"/>
  <c r="H41" i="7"/>
  <c r="E18" i="10"/>
  <c r="H17" i="7"/>
  <c r="G18" i="7"/>
  <c r="E7" i="15"/>
  <c r="E8" i="10"/>
  <c r="N70" i="12"/>
  <c r="O61" i="12" s="1"/>
  <c r="O66" i="12" s="1"/>
  <c r="O68" i="12"/>
  <c r="P5" i="14"/>
  <c r="P5" i="18"/>
  <c r="P5" i="16"/>
  <c r="P5" i="15"/>
  <c r="P5" i="17"/>
  <c r="R4" i="10"/>
  <c r="Q5" i="10"/>
  <c r="H223" i="7" l="1"/>
  <c r="H228" i="7" s="1"/>
  <c r="H224" i="7"/>
  <c r="H229" i="7" s="1"/>
  <c r="E7" i="14"/>
  <c r="G68" i="7"/>
  <c r="F7" i="10"/>
  <c r="F8" i="14"/>
  <c r="F10" i="18"/>
  <c r="L43" i="28"/>
  <c r="L44" i="28" s="1"/>
  <c r="L213" i="28" s="1"/>
  <c r="P43" i="28"/>
  <c r="P44" i="28" s="1"/>
  <c r="P213" i="28" s="1"/>
  <c r="S43" i="28"/>
  <c r="S44" i="28" s="1"/>
  <c r="S213" i="28" s="1"/>
  <c r="W43" i="28"/>
  <c r="W44" i="28" s="1"/>
  <c r="W213" i="28" s="1"/>
  <c r="J43" i="28"/>
  <c r="J44" i="28" s="1"/>
  <c r="J213" i="28" s="1"/>
  <c r="M43" i="28"/>
  <c r="M44" i="28" s="1"/>
  <c r="M213" i="28" s="1"/>
  <c r="X43" i="28"/>
  <c r="X44" i="28" s="1"/>
  <c r="X213" i="28" s="1"/>
  <c r="V43" i="28"/>
  <c r="V44" i="28" s="1"/>
  <c r="V213" i="28" s="1"/>
  <c r="K43" i="28"/>
  <c r="K44" i="28" s="1"/>
  <c r="K213" i="28" s="1"/>
  <c r="F43" i="28"/>
  <c r="F44" i="28" s="1"/>
  <c r="F213" i="28" s="1"/>
  <c r="N43" i="28"/>
  <c r="N44" i="28" s="1"/>
  <c r="N213" i="28" s="1"/>
  <c r="Q43" i="28"/>
  <c r="Q44" i="28" s="1"/>
  <c r="Q213" i="28" s="1"/>
  <c r="R43" i="28"/>
  <c r="R44" i="28" s="1"/>
  <c r="R213" i="28" s="1"/>
  <c r="T43" i="28"/>
  <c r="T44" i="28" s="1"/>
  <c r="T213" i="28" s="1"/>
  <c r="U43" i="28"/>
  <c r="U44" i="28" s="1"/>
  <c r="U213" i="28" s="1"/>
  <c r="G43" i="28"/>
  <c r="G44" i="28" s="1"/>
  <c r="G213" i="28" s="1"/>
  <c r="H43" i="28"/>
  <c r="H44" i="28" s="1"/>
  <c r="H213" i="28" s="1"/>
  <c r="Y43" i="28"/>
  <c r="I43" i="28"/>
  <c r="I44" i="28" s="1"/>
  <c r="I213" i="28" s="1"/>
  <c r="O43" i="28"/>
  <c r="O44" i="28" s="1"/>
  <c r="O213" i="28" s="1"/>
  <c r="X24" i="7"/>
  <c r="V24" i="7"/>
  <c r="T24" i="7"/>
  <c r="R24" i="7"/>
  <c r="P24" i="7"/>
  <c r="N24" i="7"/>
  <c r="L24" i="7"/>
  <c r="J24" i="7"/>
  <c r="H24" i="7"/>
  <c r="W24" i="7"/>
  <c r="S24" i="7"/>
  <c r="O24" i="7"/>
  <c r="K24" i="7"/>
  <c r="G24" i="7"/>
  <c r="Y24" i="7"/>
  <c r="U24" i="7"/>
  <c r="Q24" i="7"/>
  <c r="M24" i="7"/>
  <c r="I24" i="7"/>
  <c r="I40" i="7" s="1"/>
  <c r="I219" i="7" s="1"/>
  <c r="I224" i="7" s="1"/>
  <c r="I229" i="7" s="1"/>
  <c r="J155" i="7"/>
  <c r="Q5" i="32"/>
  <c r="Q5" i="33"/>
  <c r="Q5" i="30"/>
  <c r="C43" i="7"/>
  <c r="F43" i="7" s="1"/>
  <c r="F44" i="7" s="1"/>
  <c r="F213" i="7" s="1"/>
  <c r="D19" i="10" s="1"/>
  <c r="R4" i="7"/>
  <c r="Q64" i="12"/>
  <c r="D81" i="12"/>
  <c r="D102" i="12" s="1"/>
  <c r="D79" i="12"/>
  <c r="F18" i="10"/>
  <c r="I17" i="7"/>
  <c r="I223" i="7" s="1"/>
  <c r="I228" i="7" s="1"/>
  <c r="K186" i="7"/>
  <c r="K187" i="7"/>
  <c r="K183" i="7"/>
  <c r="K196" i="7"/>
  <c r="K180" i="7"/>
  <c r="K191" i="7"/>
  <c r="K179" i="7"/>
  <c r="K181" i="7"/>
  <c r="K189" i="7"/>
  <c r="J164" i="7"/>
  <c r="J151" i="7"/>
  <c r="J158" i="7"/>
  <c r="J154" i="7"/>
  <c r="J159" i="7"/>
  <c r="J160" i="7"/>
  <c r="I138" i="7"/>
  <c r="K177" i="7"/>
  <c r="K185" i="7"/>
  <c r="K188" i="7"/>
  <c r="K192" i="7"/>
  <c r="K178" i="7"/>
  <c r="K184" i="7"/>
  <c r="K193" i="7"/>
  <c r="K182" i="7"/>
  <c r="K194" i="7"/>
  <c r="K197" i="7"/>
  <c r="J156" i="7"/>
  <c r="J165" i="7"/>
  <c r="J153" i="7"/>
  <c r="J152" i="7"/>
  <c r="J157" i="7"/>
  <c r="J167" i="7"/>
  <c r="J168" i="7"/>
  <c r="J161" i="7"/>
  <c r="I133" i="7"/>
  <c r="I127" i="7"/>
  <c r="I128" i="7"/>
  <c r="I137" i="7"/>
  <c r="I129" i="7"/>
  <c r="I130" i="7"/>
  <c r="I134" i="7"/>
  <c r="H113" i="7"/>
  <c r="H111" i="7"/>
  <c r="H110" i="7"/>
  <c r="H102" i="7"/>
  <c r="H108" i="7"/>
  <c r="H101" i="7"/>
  <c r="H98" i="7"/>
  <c r="H97" i="7"/>
  <c r="H103" i="7"/>
  <c r="H100" i="7"/>
  <c r="H117" i="7"/>
  <c r="G71" i="7"/>
  <c r="G75" i="7"/>
  <c r="G79" i="7"/>
  <c r="G82" i="7"/>
  <c r="G81" i="7"/>
  <c r="G80" i="7"/>
  <c r="G65" i="7"/>
  <c r="G72" i="7"/>
  <c r="G50" i="7"/>
  <c r="G53" i="7"/>
  <c r="G59" i="7"/>
  <c r="G56" i="7"/>
  <c r="G52" i="7"/>
  <c r="G60" i="7"/>
  <c r="G61" i="7"/>
  <c r="G58" i="7"/>
  <c r="G34" i="7"/>
  <c r="J163" i="7"/>
  <c r="I139" i="7"/>
  <c r="I131" i="7"/>
  <c r="I141" i="7"/>
  <c r="I126" i="7"/>
  <c r="I142" i="7"/>
  <c r="H99" i="7"/>
  <c r="H104" i="7"/>
  <c r="H112" i="7"/>
  <c r="H105" i="7"/>
  <c r="H95" i="7"/>
  <c r="G66" i="7"/>
  <c r="G76" i="7"/>
  <c r="G78" i="7"/>
  <c r="G64" i="7"/>
  <c r="G51" i="7"/>
  <c r="G62" i="7"/>
  <c r="G55" i="7"/>
  <c r="G85" i="7"/>
  <c r="I135" i="7"/>
  <c r="I132" i="7"/>
  <c r="H116" i="7"/>
  <c r="H94" i="7"/>
  <c r="H115" i="7"/>
  <c r="H106" i="7"/>
  <c r="H96" i="7"/>
  <c r="G74" i="7"/>
  <c r="G84" i="7"/>
  <c r="G83" i="7"/>
  <c r="G69" i="7"/>
  <c r="G57" i="7"/>
  <c r="G63" i="7"/>
  <c r="G54" i="7"/>
  <c r="F7" i="15"/>
  <c r="F8" i="10"/>
  <c r="H18" i="7"/>
  <c r="H68" i="7" s="1"/>
  <c r="O70" i="12"/>
  <c r="Q5" i="18"/>
  <c r="Q5" i="16"/>
  <c r="Q5" i="15"/>
  <c r="Q5" i="17"/>
  <c r="Q5" i="14"/>
  <c r="S4" i="10"/>
  <c r="R5" i="10"/>
  <c r="Y44" i="28" l="1"/>
  <c r="Y213" i="28" s="1"/>
  <c r="AE20" i="30"/>
  <c r="AE21" i="30" s="1"/>
  <c r="AE23" i="30" s="1"/>
  <c r="AE27" i="30" s="1"/>
  <c r="G217" i="7"/>
  <c r="K218" i="7"/>
  <c r="G7" i="10"/>
  <c r="G10" i="18"/>
  <c r="G8" i="14"/>
  <c r="F7" i="14"/>
  <c r="X25" i="7"/>
  <c r="V25" i="7"/>
  <c r="T25" i="7"/>
  <c r="R25" i="7"/>
  <c r="P25" i="7"/>
  <c r="N25" i="7"/>
  <c r="L25" i="7"/>
  <c r="J25" i="7"/>
  <c r="J40" i="7" s="1"/>
  <c r="J219" i="7" s="1"/>
  <c r="J224" i="7" s="1"/>
  <c r="J229" i="7" s="1"/>
  <c r="H25" i="7"/>
  <c r="Y25" i="7"/>
  <c r="U25" i="7"/>
  <c r="Q25" i="7"/>
  <c r="M25" i="7"/>
  <c r="I25" i="7"/>
  <c r="W25" i="7"/>
  <c r="S25" i="7"/>
  <c r="O25" i="7"/>
  <c r="K25" i="7"/>
  <c r="K155" i="7"/>
  <c r="D18" i="14"/>
  <c r="R5" i="33"/>
  <c r="R5" i="30"/>
  <c r="R5" i="32"/>
  <c r="E10" i="10"/>
  <c r="D19" i="29"/>
  <c r="E19" i="29"/>
  <c r="F19" i="29"/>
  <c r="G19" i="29"/>
  <c r="H19" i="29"/>
  <c r="I19" i="29"/>
  <c r="J19" i="29"/>
  <c r="K19" i="29"/>
  <c r="L19" i="29"/>
  <c r="Q19" i="29"/>
  <c r="W19" i="29"/>
  <c r="T19" i="29"/>
  <c r="U19" i="29"/>
  <c r="R19" i="29"/>
  <c r="O19" i="29"/>
  <c r="P19" i="29"/>
  <c r="M19" i="29"/>
  <c r="S19" i="29"/>
  <c r="N19" i="29"/>
  <c r="V19" i="29"/>
  <c r="S4" i="7"/>
  <c r="D13" i="18"/>
  <c r="R64" i="12"/>
  <c r="R68" i="12" s="1"/>
  <c r="D83" i="12"/>
  <c r="P61" i="12"/>
  <c r="P66" i="12" s="1"/>
  <c r="P70" i="12" s="1"/>
  <c r="Q61" i="12" s="1"/>
  <c r="Q66" i="12" s="1"/>
  <c r="I41" i="7"/>
  <c r="H121" i="7"/>
  <c r="J171" i="7"/>
  <c r="L185" i="7"/>
  <c r="L179" i="7"/>
  <c r="L180" i="7"/>
  <c r="L197" i="7"/>
  <c r="L187" i="7"/>
  <c r="L182" i="7"/>
  <c r="L184" i="7"/>
  <c r="L178" i="7"/>
  <c r="K158" i="7"/>
  <c r="K151" i="7"/>
  <c r="K159" i="7"/>
  <c r="K164" i="7"/>
  <c r="K163" i="7"/>
  <c r="K157" i="7"/>
  <c r="K161" i="7"/>
  <c r="J141" i="7"/>
  <c r="J133" i="7"/>
  <c r="J131" i="7"/>
  <c r="J137" i="7"/>
  <c r="J126" i="7"/>
  <c r="J130" i="7"/>
  <c r="J134" i="7"/>
  <c r="I113" i="7"/>
  <c r="I110" i="7"/>
  <c r="I116" i="7"/>
  <c r="I111" i="7"/>
  <c r="I94" i="7"/>
  <c r="I99" i="7"/>
  <c r="I112" i="7"/>
  <c r="I106" i="7"/>
  <c r="I97" i="7"/>
  <c r="I98" i="7"/>
  <c r="I117" i="7"/>
  <c r="H66" i="7"/>
  <c r="H74" i="7"/>
  <c r="H76" i="7"/>
  <c r="H81" i="7"/>
  <c r="H84" i="7"/>
  <c r="H80" i="7"/>
  <c r="H69" i="7"/>
  <c r="H55" i="7"/>
  <c r="H54" i="7"/>
  <c r="H64" i="7"/>
  <c r="H57" i="7"/>
  <c r="H51" i="7"/>
  <c r="H63" i="7"/>
  <c r="H62" i="7"/>
  <c r="H85" i="7"/>
  <c r="L194" i="7"/>
  <c r="L186" i="7"/>
  <c r="L191" i="7"/>
  <c r="L196" i="7"/>
  <c r="L189" i="7"/>
  <c r="L177" i="7"/>
  <c r="L181" i="7"/>
  <c r="L193" i="7"/>
  <c r="L183" i="7"/>
  <c r="L192" i="7"/>
  <c r="L188" i="7"/>
  <c r="K153" i="7"/>
  <c r="K152" i="7"/>
  <c r="K156" i="7"/>
  <c r="K167" i="7"/>
  <c r="K154" i="7"/>
  <c r="K165" i="7"/>
  <c r="K160" i="7"/>
  <c r="K168" i="7"/>
  <c r="J139" i="7"/>
  <c r="J128" i="7"/>
  <c r="J127" i="7"/>
  <c r="J138" i="7"/>
  <c r="J129" i="7"/>
  <c r="J135" i="7"/>
  <c r="J132" i="7"/>
  <c r="J142" i="7"/>
  <c r="I108" i="7"/>
  <c r="I101" i="7"/>
  <c r="I104" i="7"/>
  <c r="I115" i="7"/>
  <c r="I102" i="7"/>
  <c r="I105" i="7"/>
  <c r="I96" i="7"/>
  <c r="I100" i="7"/>
  <c r="I103" i="7"/>
  <c r="I95" i="7"/>
  <c r="H71" i="7"/>
  <c r="H75" i="7"/>
  <c r="H79" i="7"/>
  <c r="H83" i="7"/>
  <c r="H78" i="7"/>
  <c r="H82" i="7"/>
  <c r="H65" i="7"/>
  <c r="H72" i="7"/>
  <c r="H61" i="7"/>
  <c r="H58" i="7"/>
  <c r="H50" i="7"/>
  <c r="H53" i="7"/>
  <c r="H59" i="7"/>
  <c r="H56" i="7"/>
  <c r="H52" i="7"/>
  <c r="H60" i="7"/>
  <c r="H34" i="7"/>
  <c r="H119" i="7"/>
  <c r="I144" i="7"/>
  <c r="G43" i="7"/>
  <c r="G42" i="7"/>
  <c r="G87" i="7"/>
  <c r="G205" i="7" s="1"/>
  <c r="I145" i="7"/>
  <c r="J172" i="7"/>
  <c r="J170" i="7"/>
  <c r="G7" i="15"/>
  <c r="G8" i="10"/>
  <c r="I18" i="7"/>
  <c r="G89" i="7"/>
  <c r="G207" i="7" s="1"/>
  <c r="I146" i="7"/>
  <c r="K199" i="7"/>
  <c r="K200" i="7"/>
  <c r="K201" i="7"/>
  <c r="J17" i="7"/>
  <c r="J223" i="7" s="1"/>
  <c r="J228" i="7" s="1"/>
  <c r="Q68" i="12"/>
  <c r="R5" i="18"/>
  <c r="R5" i="16"/>
  <c r="R5" i="15"/>
  <c r="R5" i="17"/>
  <c r="R5" i="14"/>
  <c r="T4" i="10"/>
  <c r="S5" i="10"/>
  <c r="H217" i="7" l="1"/>
  <c r="L218" i="7"/>
  <c r="G222" i="7"/>
  <c r="G220" i="7"/>
  <c r="G7" i="14"/>
  <c r="I68" i="7"/>
  <c r="H7" i="10"/>
  <c r="H8" i="10" s="1"/>
  <c r="H8" i="14"/>
  <c r="H10" i="18"/>
  <c r="L155" i="7"/>
  <c r="Y26" i="7"/>
  <c r="W26" i="7"/>
  <c r="U26" i="7"/>
  <c r="S26" i="7"/>
  <c r="Q26" i="7"/>
  <c r="O26" i="7"/>
  <c r="M26" i="7"/>
  <c r="K26" i="7"/>
  <c r="K40" i="7" s="1"/>
  <c r="K219" i="7" s="1"/>
  <c r="I26" i="7"/>
  <c r="I34" i="7" s="1"/>
  <c r="X26" i="7"/>
  <c r="T26" i="7"/>
  <c r="P26" i="7"/>
  <c r="L26" i="7"/>
  <c r="V26" i="7"/>
  <c r="R26" i="7"/>
  <c r="N26" i="7"/>
  <c r="J26" i="7"/>
  <c r="S5" i="32"/>
  <c r="S5" i="33"/>
  <c r="S5" i="30"/>
  <c r="F10" i="10"/>
  <c r="V18" i="30"/>
  <c r="V20" i="30" s="1"/>
  <c r="V24" i="30" s="1"/>
  <c r="V26" i="30" s="1"/>
  <c r="S18" i="30"/>
  <c r="S20" i="30" s="1"/>
  <c r="S24" i="30" s="1"/>
  <c r="S26" i="30" s="1"/>
  <c r="P18" i="30"/>
  <c r="P20" i="30" s="1"/>
  <c r="P24" i="30" s="1"/>
  <c r="P26" i="30" s="1"/>
  <c r="R18" i="30"/>
  <c r="R20" i="30" s="1"/>
  <c r="R24" i="30" s="1"/>
  <c r="R26" i="30" s="1"/>
  <c r="T18" i="30"/>
  <c r="T20" i="30" s="1"/>
  <c r="T24" i="30" s="1"/>
  <c r="T26" i="30" s="1"/>
  <c r="Q18" i="30"/>
  <c r="Q20" i="30" s="1"/>
  <c r="Q24" i="30" s="1"/>
  <c r="Q26" i="30" s="1"/>
  <c r="K18" i="30"/>
  <c r="K20" i="30" s="1"/>
  <c r="K24" i="30" s="1"/>
  <c r="K26" i="30" s="1"/>
  <c r="I18" i="30"/>
  <c r="I20" i="30" s="1"/>
  <c r="I24" i="30" s="1"/>
  <c r="I26" i="30" s="1"/>
  <c r="G18" i="30"/>
  <c r="G20" i="30" s="1"/>
  <c r="G24" i="30" s="1"/>
  <c r="G26" i="30" s="1"/>
  <c r="E18" i="30"/>
  <c r="E20" i="30" s="1"/>
  <c r="E24" i="30" s="1"/>
  <c r="E26" i="30" s="1"/>
  <c r="E10" i="14"/>
  <c r="E9" i="15" s="1"/>
  <c r="E12" i="10"/>
  <c r="N18" i="30"/>
  <c r="N20" i="30" s="1"/>
  <c r="N24" i="30" s="1"/>
  <c r="N26" i="30" s="1"/>
  <c r="M18" i="30"/>
  <c r="M20" i="30" s="1"/>
  <c r="M24" i="30" s="1"/>
  <c r="M26" i="30" s="1"/>
  <c r="O18" i="30"/>
  <c r="O20" i="30" s="1"/>
  <c r="O24" i="30" s="1"/>
  <c r="O26" i="30" s="1"/>
  <c r="U18" i="30"/>
  <c r="U20" i="30" s="1"/>
  <c r="U24" i="30" s="1"/>
  <c r="U26" i="30" s="1"/>
  <c r="W18" i="30"/>
  <c r="L18" i="30"/>
  <c r="L20" i="30" s="1"/>
  <c r="L24" i="30" s="1"/>
  <c r="L26" i="30" s="1"/>
  <c r="J18" i="30"/>
  <c r="J20" i="30" s="1"/>
  <c r="J24" i="30" s="1"/>
  <c r="J26" i="30" s="1"/>
  <c r="H18" i="30"/>
  <c r="H20" i="30" s="1"/>
  <c r="H24" i="30" s="1"/>
  <c r="H26" i="30" s="1"/>
  <c r="F18" i="30"/>
  <c r="F20" i="30" s="1"/>
  <c r="F24" i="30" s="1"/>
  <c r="F26" i="30" s="1"/>
  <c r="D18" i="30"/>
  <c r="D20" i="30" s="1"/>
  <c r="D24" i="30" s="1"/>
  <c r="D26" i="30" s="1"/>
  <c r="H18" i="10"/>
  <c r="T4" i="7"/>
  <c r="D41" i="10"/>
  <c r="D56" i="17" s="1"/>
  <c r="D38" i="10"/>
  <c r="D47" i="17" s="1"/>
  <c r="D21" i="15" s="1"/>
  <c r="L201" i="7"/>
  <c r="I121" i="7"/>
  <c r="S64" i="12"/>
  <c r="E77" i="12"/>
  <c r="E74" i="12"/>
  <c r="D14" i="15"/>
  <c r="Q70" i="12"/>
  <c r="R61" i="12" s="1"/>
  <c r="R66" i="12" s="1"/>
  <c r="R70" i="12" s="1"/>
  <c r="J41" i="7"/>
  <c r="J173" i="7"/>
  <c r="H89" i="7"/>
  <c r="H207" i="7" s="1"/>
  <c r="L200" i="7"/>
  <c r="K17" i="7"/>
  <c r="K223" i="7" s="1"/>
  <c r="K228" i="7" s="1"/>
  <c r="G44" i="7"/>
  <c r="L199" i="7"/>
  <c r="J144" i="7"/>
  <c r="J146" i="7"/>
  <c r="K171" i="7"/>
  <c r="H7" i="15"/>
  <c r="J18" i="7"/>
  <c r="J68" i="7" s="1"/>
  <c r="K202" i="7"/>
  <c r="K212" i="7" s="1"/>
  <c r="M191" i="7"/>
  <c r="M194" i="7"/>
  <c r="M180" i="7"/>
  <c r="M179" i="7"/>
  <c r="M181" i="7"/>
  <c r="M192" i="7"/>
  <c r="M185" i="7"/>
  <c r="M197" i="7"/>
  <c r="M189" i="7"/>
  <c r="L156" i="7"/>
  <c r="L154" i="7"/>
  <c r="L159" i="7"/>
  <c r="L164" i="7"/>
  <c r="L153" i="7"/>
  <c r="L165" i="7"/>
  <c r="L160" i="7"/>
  <c r="K128" i="7"/>
  <c r="K137" i="7"/>
  <c r="K131" i="7"/>
  <c r="K141" i="7"/>
  <c r="K135" i="7"/>
  <c r="K132" i="7"/>
  <c r="K134" i="7"/>
  <c r="J104" i="7"/>
  <c r="J101" i="7"/>
  <c r="J111" i="7"/>
  <c r="J99" i="7"/>
  <c r="J94" i="7"/>
  <c r="J105" i="7"/>
  <c r="J96" i="7"/>
  <c r="J95" i="7"/>
  <c r="J98" i="7"/>
  <c r="J97" i="7"/>
  <c r="I78" i="7"/>
  <c r="I83" i="7"/>
  <c r="I71" i="7"/>
  <c r="I79" i="7"/>
  <c r="I65" i="7"/>
  <c r="I58" i="7"/>
  <c r="I57" i="7"/>
  <c r="I52" i="7"/>
  <c r="M184" i="7"/>
  <c r="M193" i="7"/>
  <c r="M178" i="7"/>
  <c r="M183" i="7"/>
  <c r="M182" i="7"/>
  <c r="M177" i="7"/>
  <c r="M186" i="7"/>
  <c r="M188" i="7"/>
  <c r="M196" i="7"/>
  <c r="M187" i="7"/>
  <c r="L151" i="7"/>
  <c r="L152" i="7"/>
  <c r="L157" i="7"/>
  <c r="L167" i="7"/>
  <c r="L163" i="7"/>
  <c r="L158" i="7"/>
  <c r="L168" i="7"/>
  <c r="L161" i="7"/>
  <c r="K139" i="7"/>
  <c r="K127" i="7"/>
  <c r="K138" i="7"/>
  <c r="K133" i="7"/>
  <c r="K126" i="7"/>
  <c r="K130" i="7"/>
  <c r="K129" i="7"/>
  <c r="K142" i="7"/>
  <c r="J113" i="7"/>
  <c r="J108" i="7"/>
  <c r="J116" i="7"/>
  <c r="J115" i="7"/>
  <c r="J110" i="7"/>
  <c r="J102" i="7"/>
  <c r="J103" i="7"/>
  <c r="J100" i="7"/>
  <c r="J112" i="7"/>
  <c r="J106" i="7"/>
  <c r="J117" i="7"/>
  <c r="I80" i="7"/>
  <c r="I81" i="7"/>
  <c r="I66" i="7"/>
  <c r="I74" i="7"/>
  <c r="I76" i="7"/>
  <c r="I84" i="7"/>
  <c r="I69" i="7"/>
  <c r="I55" i="7"/>
  <c r="I54" i="7"/>
  <c r="I62" i="7"/>
  <c r="I50" i="7"/>
  <c r="I53" i="7"/>
  <c r="I59" i="7"/>
  <c r="I56" i="7"/>
  <c r="I85" i="7"/>
  <c r="I75" i="7"/>
  <c r="I82" i="7"/>
  <c r="I72" i="7"/>
  <c r="I61" i="7"/>
  <c r="I64" i="7"/>
  <c r="I51" i="7"/>
  <c r="I63" i="7"/>
  <c r="I60" i="7"/>
  <c r="I147" i="7"/>
  <c r="H42" i="7"/>
  <c r="H43" i="7"/>
  <c r="H87" i="7"/>
  <c r="H205" i="7" s="1"/>
  <c r="K172" i="7"/>
  <c r="I119" i="7"/>
  <c r="J145" i="7"/>
  <c r="K170" i="7"/>
  <c r="S5" i="18"/>
  <c r="S5" i="16"/>
  <c r="S5" i="15"/>
  <c r="S5" i="17"/>
  <c r="S5" i="14"/>
  <c r="U4" i="10"/>
  <c r="T5" i="10"/>
  <c r="W20" i="30" l="1"/>
  <c r="W24" i="30" s="1"/>
  <c r="W26" i="30" s="1"/>
  <c r="G227" i="7"/>
  <c r="G230" i="7" s="1"/>
  <c r="G225" i="7"/>
  <c r="H220" i="7"/>
  <c r="H222" i="7"/>
  <c r="I217" i="7"/>
  <c r="M218" i="7"/>
  <c r="K224" i="7"/>
  <c r="K229" i="7" s="1"/>
  <c r="H7" i="14"/>
  <c r="J27" i="7"/>
  <c r="J34" i="7" s="1"/>
  <c r="I7" i="10"/>
  <c r="I8" i="10" s="1"/>
  <c r="I10" i="18"/>
  <c r="I8" i="14"/>
  <c r="M155" i="7"/>
  <c r="X27" i="7"/>
  <c r="X40" i="7" s="1"/>
  <c r="X219" i="7" s="1"/>
  <c r="V27" i="7"/>
  <c r="V40" i="7" s="1"/>
  <c r="V219" i="7" s="1"/>
  <c r="T27" i="7"/>
  <c r="T40" i="7" s="1"/>
  <c r="T219" i="7" s="1"/>
  <c r="R27" i="7"/>
  <c r="R40" i="7" s="1"/>
  <c r="R219" i="7" s="1"/>
  <c r="P27" i="7"/>
  <c r="P40" i="7" s="1"/>
  <c r="P219" i="7" s="1"/>
  <c r="N27" i="7"/>
  <c r="N40" i="7" s="1"/>
  <c r="N219" i="7" s="1"/>
  <c r="L27" i="7"/>
  <c r="L40" i="7" s="1"/>
  <c r="L219" i="7" s="1"/>
  <c r="Y27" i="7"/>
  <c r="Y40" i="7" s="1"/>
  <c r="Y219" i="7" s="1"/>
  <c r="U27" i="7"/>
  <c r="U40" i="7" s="1"/>
  <c r="U219" i="7" s="1"/>
  <c r="Q27" i="7"/>
  <c r="Q40" i="7" s="1"/>
  <c r="Q219" i="7" s="1"/>
  <c r="M27" i="7"/>
  <c r="M40" i="7" s="1"/>
  <c r="M219" i="7" s="1"/>
  <c r="W27" i="7"/>
  <c r="W40" i="7" s="1"/>
  <c r="W219" i="7" s="1"/>
  <c r="S27" i="7"/>
  <c r="S40" i="7" s="1"/>
  <c r="S219" i="7" s="1"/>
  <c r="O27" i="7"/>
  <c r="O40" i="7" s="1"/>
  <c r="O219" i="7" s="1"/>
  <c r="K27" i="7"/>
  <c r="T5" i="33"/>
  <c r="T5" i="30"/>
  <c r="T5" i="32"/>
  <c r="F51" i="30"/>
  <c r="J51" i="30"/>
  <c r="L51" i="30"/>
  <c r="W51" i="30"/>
  <c r="O51" i="30"/>
  <c r="M51" i="30"/>
  <c r="E12" i="14"/>
  <c r="E14" i="14" s="1"/>
  <c r="E14" i="10"/>
  <c r="E14" i="12" s="1"/>
  <c r="E51" i="30"/>
  <c r="K51" i="30"/>
  <c r="Q51" i="30"/>
  <c r="T51" i="30"/>
  <c r="P51" i="30"/>
  <c r="S51" i="30"/>
  <c r="F10" i="14"/>
  <c r="F9" i="15" s="1"/>
  <c r="F12" i="10"/>
  <c r="G10" i="10"/>
  <c r="D51" i="30"/>
  <c r="H51" i="30"/>
  <c r="U51" i="30"/>
  <c r="N51" i="30"/>
  <c r="G51" i="30"/>
  <c r="I51" i="30"/>
  <c r="R51" i="30"/>
  <c r="V51" i="30"/>
  <c r="U4" i="7"/>
  <c r="D20" i="10"/>
  <c r="D22" i="14" s="1"/>
  <c r="D59" i="17"/>
  <c r="D30" i="15"/>
  <c r="D33" i="15" s="1"/>
  <c r="D43" i="18" s="1"/>
  <c r="E79" i="12"/>
  <c r="T64" i="12"/>
  <c r="T68" i="12" s="1"/>
  <c r="F77" i="12"/>
  <c r="F81" i="12" s="1"/>
  <c r="E81" i="12"/>
  <c r="L171" i="7"/>
  <c r="K41" i="7"/>
  <c r="L202" i="7"/>
  <c r="L212" i="7" s="1"/>
  <c r="I18" i="10"/>
  <c r="J121" i="7"/>
  <c r="L172" i="7"/>
  <c r="K145" i="7"/>
  <c r="K173" i="7"/>
  <c r="H44" i="7"/>
  <c r="I87" i="7"/>
  <c r="I205" i="7" s="1"/>
  <c r="K144" i="7"/>
  <c r="L170" i="7"/>
  <c r="M201" i="7"/>
  <c r="I89" i="7"/>
  <c r="I207" i="7" s="1"/>
  <c r="M200" i="7"/>
  <c r="J147" i="7"/>
  <c r="G213" i="7"/>
  <c r="E19" i="10" s="1"/>
  <c r="I7" i="15"/>
  <c r="K18" i="7"/>
  <c r="K68" i="7" s="1"/>
  <c r="I43" i="7"/>
  <c r="I42" i="7"/>
  <c r="M199" i="7"/>
  <c r="J119" i="7"/>
  <c r="K146" i="7"/>
  <c r="N193" i="7"/>
  <c r="N185" i="7"/>
  <c r="N183" i="7"/>
  <c r="N189" i="7"/>
  <c r="N187" i="7"/>
  <c r="N194" i="7"/>
  <c r="N191" i="7"/>
  <c r="N184" i="7"/>
  <c r="N177" i="7"/>
  <c r="N181" i="7"/>
  <c r="M156" i="7"/>
  <c r="M167" i="7"/>
  <c r="M157" i="7"/>
  <c r="M153" i="7"/>
  <c r="M152" i="7"/>
  <c r="M154" i="7"/>
  <c r="M160" i="7"/>
  <c r="L137" i="7"/>
  <c r="L131" i="7"/>
  <c r="L141" i="7"/>
  <c r="L133" i="7"/>
  <c r="L130" i="7"/>
  <c r="L129" i="7"/>
  <c r="L134" i="7"/>
  <c r="K113" i="7"/>
  <c r="K115" i="7"/>
  <c r="K102" i="7"/>
  <c r="K116" i="7"/>
  <c r="K111" i="7"/>
  <c r="K101" i="7"/>
  <c r="K98" i="7"/>
  <c r="K105" i="7"/>
  <c r="K96" i="7"/>
  <c r="K100" i="7"/>
  <c r="K117" i="7"/>
  <c r="J80" i="7"/>
  <c r="J71" i="7"/>
  <c r="J75" i="7"/>
  <c r="J79" i="7"/>
  <c r="J83" i="7"/>
  <c r="J82" i="7"/>
  <c r="J65" i="7"/>
  <c r="J72" i="7"/>
  <c r="J53" i="7"/>
  <c r="J59" i="7"/>
  <c r="J56" i="7"/>
  <c r="J52" i="7"/>
  <c r="J60" i="7"/>
  <c r="J61" i="7"/>
  <c r="J58" i="7"/>
  <c r="J50" i="7"/>
  <c r="N178" i="7"/>
  <c r="N196" i="7"/>
  <c r="N197" i="7"/>
  <c r="N179" i="7"/>
  <c r="N188" i="7"/>
  <c r="N180" i="7"/>
  <c r="N186" i="7"/>
  <c r="N192" i="7"/>
  <c r="N182" i="7"/>
  <c r="M151" i="7"/>
  <c r="M159" i="7"/>
  <c r="M164" i="7"/>
  <c r="M165" i="7"/>
  <c r="M158" i="7"/>
  <c r="M163" i="7"/>
  <c r="M168" i="7"/>
  <c r="M161" i="7"/>
  <c r="L139" i="7"/>
  <c r="L127" i="7"/>
  <c r="L138" i="7"/>
  <c r="L128" i="7"/>
  <c r="L135" i="7"/>
  <c r="L132" i="7"/>
  <c r="L126" i="7"/>
  <c r="L142" i="7"/>
  <c r="K104" i="7"/>
  <c r="K94" i="7"/>
  <c r="K99" i="7"/>
  <c r="K108" i="7"/>
  <c r="K110" i="7"/>
  <c r="K103" i="7"/>
  <c r="K95" i="7"/>
  <c r="K112" i="7"/>
  <c r="K106" i="7"/>
  <c r="K97" i="7"/>
  <c r="J78" i="7"/>
  <c r="J66" i="7"/>
  <c r="J74" i="7"/>
  <c r="J76" i="7"/>
  <c r="J81" i="7"/>
  <c r="J84" i="7"/>
  <c r="J69" i="7"/>
  <c r="J57" i="7"/>
  <c r="J51" i="7"/>
  <c r="J63" i="7"/>
  <c r="J62" i="7"/>
  <c r="J55" i="7"/>
  <c r="J54" i="7"/>
  <c r="J64" i="7"/>
  <c r="J85" i="7"/>
  <c r="L17" i="7"/>
  <c r="L223" i="7" s="1"/>
  <c r="L228" i="7" s="1"/>
  <c r="S68" i="12"/>
  <c r="T5" i="14"/>
  <c r="T5" i="18"/>
  <c r="T5" i="16"/>
  <c r="T5" i="15"/>
  <c r="T5" i="17"/>
  <c r="V4" i="10"/>
  <c r="U5" i="10"/>
  <c r="S61" i="12"/>
  <c r="S66" i="12" s="1"/>
  <c r="H225" i="7" l="1"/>
  <c r="H227" i="7"/>
  <c r="H230" i="7" s="1"/>
  <c r="J217" i="7"/>
  <c r="N218" i="7"/>
  <c r="L224" i="7"/>
  <c r="L229" i="7" s="1"/>
  <c r="I220" i="7"/>
  <c r="I222" i="7"/>
  <c r="E101" i="12"/>
  <c r="E31" i="17"/>
  <c r="J7" i="10"/>
  <c r="J8" i="10" s="1"/>
  <c r="J8" i="14"/>
  <c r="J10" i="18"/>
  <c r="I7" i="14"/>
  <c r="K28" i="7"/>
  <c r="K34" i="7" s="1"/>
  <c r="N155" i="7"/>
  <c r="X28" i="7"/>
  <c r="V28" i="7"/>
  <c r="T28" i="7"/>
  <c r="R28" i="7"/>
  <c r="P28" i="7"/>
  <c r="N28" i="7"/>
  <c r="L28" i="7"/>
  <c r="W28" i="7"/>
  <c r="S28" i="7"/>
  <c r="O28" i="7"/>
  <c r="Y28" i="7"/>
  <c r="U28" i="7"/>
  <c r="Q28" i="7"/>
  <c r="M28" i="7"/>
  <c r="E18" i="14"/>
  <c r="U5" i="32"/>
  <c r="U5" i="33"/>
  <c r="U5" i="30"/>
  <c r="G10" i="14"/>
  <c r="G9" i="15" s="1"/>
  <c r="G12" i="10"/>
  <c r="F14" i="10"/>
  <c r="F14" i="12" s="1"/>
  <c r="F101" i="12" s="1"/>
  <c r="F12" i="14"/>
  <c r="F14" i="14" s="1"/>
  <c r="H10" i="10"/>
  <c r="J18" i="10"/>
  <c r="V4" i="7"/>
  <c r="E83" i="12"/>
  <c r="F74" i="12" s="1"/>
  <c r="F79" i="12" s="1"/>
  <c r="F83" i="12" s="1"/>
  <c r="M202" i="7"/>
  <c r="M212" i="7" s="1"/>
  <c r="U64" i="12"/>
  <c r="O41" i="7"/>
  <c r="M41" i="7"/>
  <c r="Q41" i="7"/>
  <c r="S41" i="7"/>
  <c r="U41" i="7"/>
  <c r="P41" i="7"/>
  <c r="W41" i="7"/>
  <c r="L41" i="7"/>
  <c r="Y41" i="7"/>
  <c r="V41" i="7"/>
  <c r="T41" i="7"/>
  <c r="N41" i="7"/>
  <c r="X41" i="7"/>
  <c r="R41" i="7"/>
  <c r="S70" i="12"/>
  <c r="T61" i="12" s="1"/>
  <c r="T66" i="12" s="1"/>
  <c r="T70" i="12" s="1"/>
  <c r="L144" i="7"/>
  <c r="M171" i="7"/>
  <c r="L173" i="7"/>
  <c r="J43" i="7"/>
  <c r="J42" i="7"/>
  <c r="J7" i="15"/>
  <c r="L18" i="7"/>
  <c r="L68" i="7" s="1"/>
  <c r="K119" i="7"/>
  <c r="M170" i="7"/>
  <c r="N201" i="7"/>
  <c r="J87" i="7"/>
  <c r="J205" i="7" s="1"/>
  <c r="K121" i="7"/>
  <c r="L146" i="7"/>
  <c r="L145" i="7"/>
  <c r="N199" i="7"/>
  <c r="N200" i="7"/>
  <c r="O189" i="7"/>
  <c r="O184" i="7"/>
  <c r="O196" i="7"/>
  <c r="O186" i="7"/>
  <c r="O192" i="7"/>
  <c r="O193" i="7"/>
  <c r="O188" i="7"/>
  <c r="O177" i="7"/>
  <c r="O197" i="7"/>
  <c r="O178" i="7"/>
  <c r="O187" i="7"/>
  <c r="O182" i="7"/>
  <c r="O179" i="7"/>
  <c r="O185" i="7"/>
  <c r="O181" i="7"/>
  <c r="O183" i="7"/>
  <c r="O194" i="7"/>
  <c r="N151" i="7"/>
  <c r="N158" i="7"/>
  <c r="N165" i="7"/>
  <c r="N152" i="7"/>
  <c r="N157" i="7"/>
  <c r="N164" i="7"/>
  <c r="N161" i="7"/>
  <c r="N160" i="7"/>
  <c r="M133" i="7"/>
  <c r="M127" i="7"/>
  <c r="M141" i="7"/>
  <c r="M137" i="7"/>
  <c r="M130" i="7"/>
  <c r="M129" i="7"/>
  <c r="M134" i="7"/>
  <c r="L116" i="7"/>
  <c r="L115" i="7"/>
  <c r="L110" i="7"/>
  <c r="L102" i="7"/>
  <c r="L108" i="7"/>
  <c r="L98" i="7"/>
  <c r="L97" i="7"/>
  <c r="L112" i="7"/>
  <c r="L96" i="7"/>
  <c r="L95" i="7"/>
  <c r="K84" i="7"/>
  <c r="K80" i="7"/>
  <c r="K71" i="7"/>
  <c r="K75" i="7"/>
  <c r="K79" i="7"/>
  <c r="K83" i="7"/>
  <c r="K69" i="7"/>
  <c r="K55" i="7"/>
  <c r="K54" i="7"/>
  <c r="K63" i="7"/>
  <c r="K50" i="7"/>
  <c r="K53" i="7"/>
  <c r="K59" i="7"/>
  <c r="K62" i="7"/>
  <c r="K85" i="7"/>
  <c r="O180" i="7"/>
  <c r="O191" i="7"/>
  <c r="N153" i="7"/>
  <c r="N167" i="7"/>
  <c r="N154" i="7"/>
  <c r="N163" i="7"/>
  <c r="M131" i="7"/>
  <c r="M128" i="7"/>
  <c r="M132" i="7"/>
  <c r="M142" i="7"/>
  <c r="L111" i="7"/>
  <c r="L94" i="7"/>
  <c r="L101" i="7"/>
  <c r="L105" i="7"/>
  <c r="L100" i="7"/>
  <c r="K82" i="7"/>
  <c r="K74" i="7"/>
  <c r="K81" i="7"/>
  <c r="K65" i="7"/>
  <c r="K61" i="7"/>
  <c r="K64" i="7"/>
  <c r="K51" i="7"/>
  <c r="K52" i="7"/>
  <c r="N156" i="7"/>
  <c r="N159" i="7"/>
  <c r="N168" i="7"/>
  <c r="M139" i="7"/>
  <c r="M138" i="7"/>
  <c r="M135" i="7"/>
  <c r="M126" i="7"/>
  <c r="L113" i="7"/>
  <c r="L99" i="7"/>
  <c r="L104" i="7"/>
  <c r="L106" i="7"/>
  <c r="L103" i="7"/>
  <c r="L117" i="7"/>
  <c r="K66" i="7"/>
  <c r="K76" i="7"/>
  <c r="K78" i="7"/>
  <c r="K72" i="7"/>
  <c r="K58" i="7"/>
  <c r="K57" i="7"/>
  <c r="K56" i="7"/>
  <c r="K60" i="7"/>
  <c r="M17" i="7"/>
  <c r="M223" i="7" s="1"/>
  <c r="M228" i="7" s="1"/>
  <c r="J89" i="7"/>
  <c r="J207" i="7" s="1"/>
  <c r="M172" i="7"/>
  <c r="I44" i="7"/>
  <c r="K147" i="7"/>
  <c r="H213" i="7"/>
  <c r="U5" i="18"/>
  <c r="U5" i="16"/>
  <c r="U5" i="15"/>
  <c r="U5" i="17"/>
  <c r="U5" i="14"/>
  <c r="W4" i="10"/>
  <c r="W5" i="10" s="1"/>
  <c r="V5" i="10"/>
  <c r="O218" i="7" l="1"/>
  <c r="M224" i="7"/>
  <c r="M229" i="7" s="1"/>
  <c r="K217" i="7"/>
  <c r="I225" i="7"/>
  <c r="I227" i="7"/>
  <c r="I230" i="7" s="1"/>
  <c r="J220" i="7"/>
  <c r="J222" i="7"/>
  <c r="K7" i="10"/>
  <c r="K8" i="10" s="1"/>
  <c r="K10" i="18"/>
  <c r="K8" i="14"/>
  <c r="E34" i="18"/>
  <c r="J7" i="14"/>
  <c r="L29" i="7"/>
  <c r="L34" i="7" s="1"/>
  <c r="O155" i="7"/>
  <c r="Y29" i="7"/>
  <c r="W29" i="7"/>
  <c r="U29" i="7"/>
  <c r="S29" i="7"/>
  <c r="Q29" i="7"/>
  <c r="O29" i="7"/>
  <c r="M29" i="7"/>
  <c r="V29" i="7"/>
  <c r="R29" i="7"/>
  <c r="N29" i="7"/>
  <c r="X29" i="7"/>
  <c r="T29" i="7"/>
  <c r="P29" i="7"/>
  <c r="Y5" i="10"/>
  <c r="V5" i="33"/>
  <c r="V5" i="30"/>
  <c r="V5" i="32"/>
  <c r="W5" i="32"/>
  <c r="W5" i="33"/>
  <c r="W5" i="30"/>
  <c r="G12" i="14"/>
  <c r="G14" i="14" s="1"/>
  <c r="G14" i="10"/>
  <c r="G14" i="12" s="1"/>
  <c r="I10" i="10"/>
  <c r="H10" i="14"/>
  <c r="H9" i="15" s="1"/>
  <c r="H12" i="10"/>
  <c r="W4" i="7"/>
  <c r="E13" i="18"/>
  <c r="E14" i="15"/>
  <c r="K18" i="10"/>
  <c r="E41" i="10"/>
  <c r="E56" i="17" s="1"/>
  <c r="E30" i="15" s="1"/>
  <c r="W64" i="12"/>
  <c r="V64" i="12"/>
  <c r="V68" i="12" s="1"/>
  <c r="G77" i="12"/>
  <c r="G74" i="12"/>
  <c r="F14" i="15"/>
  <c r="E38" i="10"/>
  <c r="F19" i="10"/>
  <c r="K89" i="7"/>
  <c r="K207" i="7" s="1"/>
  <c r="M144" i="7"/>
  <c r="F38" i="10"/>
  <c r="N202" i="7"/>
  <c r="N212" i="7" s="1"/>
  <c r="K43" i="7"/>
  <c r="K42" i="7"/>
  <c r="N17" i="7"/>
  <c r="N224" i="7" s="1"/>
  <c r="N229" i="7" s="1"/>
  <c r="N171" i="7"/>
  <c r="N172" i="7"/>
  <c r="O200" i="7"/>
  <c r="M145" i="7"/>
  <c r="N170" i="7"/>
  <c r="O199" i="7"/>
  <c r="L147" i="7"/>
  <c r="J44" i="7"/>
  <c r="I213" i="7"/>
  <c r="G19" i="10" s="1"/>
  <c r="K7" i="15"/>
  <c r="M18" i="7"/>
  <c r="L119" i="7"/>
  <c r="K87" i="7"/>
  <c r="K205" i="7" s="1"/>
  <c r="L121" i="7"/>
  <c r="M146" i="7"/>
  <c r="O201" i="7"/>
  <c r="M173" i="7"/>
  <c r="P192" i="7"/>
  <c r="P191" i="7"/>
  <c r="P185" i="7"/>
  <c r="P180" i="7"/>
  <c r="P181" i="7"/>
  <c r="P196" i="7"/>
  <c r="P193" i="7"/>
  <c r="P178" i="7"/>
  <c r="P197" i="7"/>
  <c r="P189" i="7"/>
  <c r="O158" i="7"/>
  <c r="O163" i="7"/>
  <c r="O157" i="7"/>
  <c r="O156" i="7"/>
  <c r="O167" i="7"/>
  <c r="O152" i="7"/>
  <c r="O161" i="7"/>
  <c r="N141" i="7"/>
  <c r="N133" i="7"/>
  <c r="N137" i="7"/>
  <c r="N129" i="7"/>
  <c r="N130" i="7"/>
  <c r="N134" i="7"/>
  <c r="M113" i="7"/>
  <c r="M110" i="7"/>
  <c r="M94" i="7"/>
  <c r="M112" i="7"/>
  <c r="M98" i="7"/>
  <c r="L71" i="7"/>
  <c r="L79" i="7"/>
  <c r="L80" i="7"/>
  <c r="L61" i="7"/>
  <c r="L50" i="7"/>
  <c r="L56" i="7"/>
  <c r="P183" i="7"/>
  <c r="P186" i="7"/>
  <c r="P194" i="7"/>
  <c r="P182" i="7"/>
  <c r="P177" i="7"/>
  <c r="P184" i="7"/>
  <c r="P187" i="7"/>
  <c r="P179" i="7"/>
  <c r="P188" i="7"/>
  <c r="O153" i="7"/>
  <c r="O154" i="7"/>
  <c r="O165" i="7"/>
  <c r="O151" i="7"/>
  <c r="O159" i="7"/>
  <c r="O164" i="7"/>
  <c r="O168" i="7"/>
  <c r="O160" i="7"/>
  <c r="N139" i="7"/>
  <c r="N128" i="7"/>
  <c r="N138" i="7"/>
  <c r="N127" i="7"/>
  <c r="N135" i="7"/>
  <c r="N126" i="7"/>
  <c r="N132" i="7"/>
  <c r="N142" i="7"/>
  <c r="M116" i="7"/>
  <c r="M111" i="7"/>
  <c r="M101" i="7"/>
  <c r="M115" i="7"/>
  <c r="M102" i="7"/>
  <c r="M105" i="7"/>
  <c r="M96" i="7"/>
  <c r="M100" i="7"/>
  <c r="M103" i="7"/>
  <c r="M95" i="7"/>
  <c r="L66" i="7"/>
  <c r="L74" i="7"/>
  <c r="L76" i="7"/>
  <c r="L84" i="7"/>
  <c r="L81" i="7"/>
  <c r="L78" i="7"/>
  <c r="L69" i="7"/>
  <c r="L55" i="7"/>
  <c r="L54" i="7"/>
  <c r="L64" i="7"/>
  <c r="L57" i="7"/>
  <c r="L51" i="7"/>
  <c r="L63" i="7"/>
  <c r="L62" i="7"/>
  <c r="L85" i="7"/>
  <c r="N131" i="7"/>
  <c r="M108" i="7"/>
  <c r="M104" i="7"/>
  <c r="M99" i="7"/>
  <c r="M106" i="7"/>
  <c r="M97" i="7"/>
  <c r="M117" i="7"/>
  <c r="L75" i="7"/>
  <c r="L82" i="7"/>
  <c r="L83" i="7"/>
  <c r="L65" i="7"/>
  <c r="L72" i="7"/>
  <c r="L58" i="7"/>
  <c r="L53" i="7"/>
  <c r="L59" i="7"/>
  <c r="L52" i="7"/>
  <c r="L60" i="7"/>
  <c r="U68" i="12"/>
  <c r="W5" i="18"/>
  <c r="W5" i="16"/>
  <c r="W5" i="15"/>
  <c r="W5" i="17"/>
  <c r="W5" i="14"/>
  <c r="V5" i="18"/>
  <c r="V5" i="16"/>
  <c r="V5" i="15"/>
  <c r="V5" i="17"/>
  <c r="V5" i="14"/>
  <c r="U61" i="12"/>
  <c r="U66" i="12" s="1"/>
  <c r="J225" i="7" l="1"/>
  <c r="J227" i="7"/>
  <c r="J230" i="7" s="1"/>
  <c r="K220" i="7"/>
  <c r="K222" i="7"/>
  <c r="P218" i="7"/>
  <c r="L217" i="7"/>
  <c r="N223" i="7"/>
  <c r="N228" i="7" s="1"/>
  <c r="O223" i="7"/>
  <c r="O228" i="7" s="1"/>
  <c r="K7" i="14"/>
  <c r="M68" i="7"/>
  <c r="L7" i="10"/>
  <c r="L8" i="10" s="1"/>
  <c r="L8" i="14"/>
  <c r="L10" i="18"/>
  <c r="P155" i="7"/>
  <c r="Y30" i="7"/>
  <c r="W30" i="7"/>
  <c r="U30" i="7"/>
  <c r="S30" i="7"/>
  <c r="Q30" i="7"/>
  <c r="O30" i="7"/>
  <c r="M30" i="7"/>
  <c r="M34" i="7" s="1"/>
  <c r="X30" i="7"/>
  <c r="V30" i="7"/>
  <c r="T30" i="7"/>
  <c r="R30" i="7"/>
  <c r="N30" i="7"/>
  <c r="P30" i="7"/>
  <c r="G18" i="14"/>
  <c r="F18" i="14"/>
  <c r="J10" i="10"/>
  <c r="H14" i="10"/>
  <c r="H12" i="14"/>
  <c r="H14" i="14" s="1"/>
  <c r="I10" i="14"/>
  <c r="I9" i="15" s="1"/>
  <c r="I12" i="10"/>
  <c r="E20" i="10"/>
  <c r="E22" i="14" s="1"/>
  <c r="E47" i="17"/>
  <c r="E21" i="15" s="1"/>
  <c r="F47" i="17"/>
  <c r="X4" i="7"/>
  <c r="E59" i="17"/>
  <c r="G79" i="12"/>
  <c r="H77" i="12"/>
  <c r="H81" i="12" s="1"/>
  <c r="G81" i="12"/>
  <c r="E51" i="12"/>
  <c r="E53" i="12" s="1"/>
  <c r="E55" i="12" s="1"/>
  <c r="E57" i="12" s="1"/>
  <c r="E13" i="15" s="1"/>
  <c r="F41" i="10"/>
  <c r="F56" i="17" s="1"/>
  <c r="F59" i="17" s="1"/>
  <c r="G38" i="10"/>
  <c r="G47" i="17" s="1"/>
  <c r="N173" i="7"/>
  <c r="L18" i="10"/>
  <c r="O170" i="7"/>
  <c r="P199" i="7"/>
  <c r="M119" i="7"/>
  <c r="N145" i="7"/>
  <c r="N146" i="7"/>
  <c r="O171" i="7"/>
  <c r="P201" i="7"/>
  <c r="P200" i="7"/>
  <c r="Q183" i="7"/>
  <c r="Q187" i="7"/>
  <c r="P152" i="7"/>
  <c r="P156" i="7"/>
  <c r="P161" i="7"/>
  <c r="O138" i="7"/>
  <c r="O135" i="7"/>
  <c r="N113" i="7"/>
  <c r="N111" i="7"/>
  <c r="N112" i="7"/>
  <c r="N106" i="7"/>
  <c r="M71" i="7"/>
  <c r="M83" i="7"/>
  <c r="M50" i="7"/>
  <c r="M59" i="7"/>
  <c r="M61" i="7"/>
  <c r="Q178" i="7"/>
  <c r="Q193" i="7"/>
  <c r="Q196" i="7"/>
  <c r="Q180" i="7"/>
  <c r="Q181" i="7"/>
  <c r="Q191" i="7"/>
  <c r="Q192" i="7"/>
  <c r="Q185" i="7"/>
  <c r="Q184" i="7"/>
  <c r="Q186" i="7"/>
  <c r="P158" i="7"/>
  <c r="P154" i="7"/>
  <c r="P159" i="7"/>
  <c r="P151" i="7"/>
  <c r="P167" i="7"/>
  <c r="P165" i="7"/>
  <c r="P160" i="7"/>
  <c r="O139" i="7"/>
  <c r="O131" i="7"/>
  <c r="O137" i="7"/>
  <c r="O127" i="7"/>
  <c r="O130" i="7"/>
  <c r="O129" i="7"/>
  <c r="O126" i="7"/>
  <c r="O142" i="7"/>
  <c r="N104" i="7"/>
  <c r="N115" i="7"/>
  <c r="N116" i="7"/>
  <c r="N99" i="7"/>
  <c r="N94" i="7"/>
  <c r="N105" i="7"/>
  <c r="N103" i="7"/>
  <c r="N100" i="7"/>
  <c r="N98" i="7"/>
  <c r="N97" i="7"/>
  <c r="M80" i="7"/>
  <c r="M66" i="7"/>
  <c r="M74" i="7"/>
  <c r="M76" i="7"/>
  <c r="M81" i="7"/>
  <c r="M84" i="7"/>
  <c r="M69" i="7"/>
  <c r="M64" i="7"/>
  <c r="M57" i="7"/>
  <c r="M51" i="7"/>
  <c r="M56" i="7"/>
  <c r="M55" i="7"/>
  <c r="M54" i="7"/>
  <c r="M63" i="7"/>
  <c r="M85" i="7"/>
  <c r="Q179" i="7"/>
  <c r="Q197" i="7"/>
  <c r="Q182" i="7"/>
  <c r="Q177" i="7"/>
  <c r="Q194" i="7"/>
  <c r="Q189" i="7"/>
  <c r="Q188" i="7"/>
  <c r="P153" i="7"/>
  <c r="P157" i="7"/>
  <c r="P163" i="7"/>
  <c r="P164" i="7"/>
  <c r="P168" i="7"/>
  <c r="O128" i="7"/>
  <c r="O133" i="7"/>
  <c r="O141" i="7"/>
  <c r="O132" i="7"/>
  <c r="O134" i="7"/>
  <c r="N108" i="7"/>
  <c r="N101" i="7"/>
  <c r="N110" i="7"/>
  <c r="N102" i="7"/>
  <c r="N96" i="7"/>
  <c r="N95" i="7"/>
  <c r="N117" i="7"/>
  <c r="M78" i="7"/>
  <c r="M75" i="7"/>
  <c r="M79" i="7"/>
  <c r="M82" i="7"/>
  <c r="M65" i="7"/>
  <c r="M72" i="7"/>
  <c r="M53" i="7"/>
  <c r="M52" i="7"/>
  <c r="M60" i="7"/>
  <c r="M58" i="7"/>
  <c r="M62" i="7"/>
  <c r="F13" i="18"/>
  <c r="F20" i="10"/>
  <c r="F22" i="14" s="1"/>
  <c r="J213" i="7"/>
  <c r="M147" i="7"/>
  <c r="O17" i="7"/>
  <c r="O224" i="7" s="1"/>
  <c r="O229" i="7" s="1"/>
  <c r="L89" i="7"/>
  <c r="L207" i="7" s="1"/>
  <c r="M121" i="7"/>
  <c r="N144" i="7"/>
  <c r="L42" i="7"/>
  <c r="L43" i="7"/>
  <c r="L87" i="7"/>
  <c r="L205" i="7" s="1"/>
  <c r="O172" i="7"/>
  <c r="O202" i="7"/>
  <c r="O212" i="7" s="1"/>
  <c r="L7" i="15"/>
  <c r="N18" i="7"/>
  <c r="K44" i="7"/>
  <c r="U70" i="12"/>
  <c r="W68" i="12"/>
  <c r="L220" i="7" l="1"/>
  <c r="L222" i="7"/>
  <c r="K225" i="7"/>
  <c r="K227" i="7"/>
  <c r="K230" i="7" s="1"/>
  <c r="Q218" i="7"/>
  <c r="M217" i="7"/>
  <c r="L7" i="14"/>
  <c r="N68" i="7"/>
  <c r="M7" i="10"/>
  <c r="M10" i="18"/>
  <c r="M8" i="14"/>
  <c r="Q155" i="7"/>
  <c r="Y31" i="7"/>
  <c r="W31" i="7"/>
  <c r="U31" i="7"/>
  <c r="S31" i="7"/>
  <c r="Q31" i="7"/>
  <c r="O31" i="7"/>
  <c r="X31" i="7"/>
  <c r="V31" i="7"/>
  <c r="T31" i="7"/>
  <c r="R31" i="7"/>
  <c r="P31" i="7"/>
  <c r="N31" i="7"/>
  <c r="N34" i="7" s="1"/>
  <c r="K10" i="10"/>
  <c r="I12" i="14"/>
  <c r="I14" i="14" s="1"/>
  <c r="I14" i="10"/>
  <c r="J10" i="14"/>
  <c r="J9" i="15" s="1"/>
  <c r="J12" i="10"/>
  <c r="M18" i="10"/>
  <c r="F21" i="15"/>
  <c r="G21" i="15" s="1"/>
  <c r="Y4" i="7"/>
  <c r="G83" i="12"/>
  <c r="H74" i="12" s="1"/>
  <c r="H79" i="12" s="1"/>
  <c r="H83" i="12" s="1"/>
  <c r="F30" i="15"/>
  <c r="I77" i="12"/>
  <c r="F47" i="12"/>
  <c r="V61" i="12"/>
  <c r="V66" i="12" s="1"/>
  <c r="V70" i="12" s="1"/>
  <c r="W61" i="12" s="1"/>
  <c r="W66" i="12" s="1"/>
  <c r="W70" i="12" s="1"/>
  <c r="H19" i="10"/>
  <c r="O146" i="7"/>
  <c r="G20" i="10"/>
  <c r="G22" i="14" s="1"/>
  <c r="N147" i="7"/>
  <c r="O145" i="7"/>
  <c r="G41" i="10"/>
  <c r="G56" i="17" s="1"/>
  <c r="H13" i="18"/>
  <c r="R178" i="7"/>
  <c r="R192" i="7"/>
  <c r="R184" i="7"/>
  <c r="R179" i="7"/>
  <c r="Q164" i="7"/>
  <c r="Q153" i="7"/>
  <c r="P137" i="7"/>
  <c r="P141" i="7"/>
  <c r="P134" i="7"/>
  <c r="O104" i="7"/>
  <c r="O108" i="7"/>
  <c r="O105" i="7"/>
  <c r="O117" i="7"/>
  <c r="N81" i="7"/>
  <c r="N74" i="7"/>
  <c r="N65" i="7"/>
  <c r="R193" i="7"/>
  <c r="R188" i="7"/>
  <c r="R191" i="7"/>
  <c r="R194" i="7"/>
  <c r="R183" i="7"/>
  <c r="R187" i="7"/>
  <c r="R185" i="7"/>
  <c r="R196" i="7"/>
  <c r="R189" i="7"/>
  <c r="R181" i="7"/>
  <c r="Q156" i="7"/>
  <c r="Q167" i="7"/>
  <c r="Q152" i="7"/>
  <c r="Q154" i="7"/>
  <c r="Q158" i="7"/>
  <c r="Q165" i="7"/>
  <c r="Q160" i="7"/>
  <c r="P139" i="7"/>
  <c r="P127" i="7"/>
  <c r="P128" i="7"/>
  <c r="P138" i="7"/>
  <c r="P130" i="7"/>
  <c r="P135" i="7"/>
  <c r="P126" i="7"/>
  <c r="P142" i="7"/>
  <c r="O116" i="7"/>
  <c r="O111" i="7"/>
  <c r="O94" i="7"/>
  <c r="O99" i="7"/>
  <c r="O110" i="7"/>
  <c r="O103" i="7"/>
  <c r="O95" i="7"/>
  <c r="O112" i="7"/>
  <c r="O106" i="7"/>
  <c r="O97" i="7"/>
  <c r="N82" i="7"/>
  <c r="N83" i="7"/>
  <c r="N80" i="7"/>
  <c r="N71" i="7"/>
  <c r="N75" i="7"/>
  <c r="N79" i="7"/>
  <c r="N69" i="7"/>
  <c r="N57" i="7"/>
  <c r="N51" i="7"/>
  <c r="N63" i="7"/>
  <c r="N62" i="7"/>
  <c r="N55" i="7"/>
  <c r="N54" i="7"/>
  <c r="N64" i="7"/>
  <c r="N85" i="7"/>
  <c r="R177" i="7"/>
  <c r="R186" i="7"/>
  <c r="R197" i="7"/>
  <c r="R182" i="7"/>
  <c r="R180" i="7"/>
  <c r="Q151" i="7"/>
  <c r="Q159" i="7"/>
  <c r="Q163" i="7"/>
  <c r="Q157" i="7"/>
  <c r="Q168" i="7"/>
  <c r="Q161" i="7"/>
  <c r="P131" i="7"/>
  <c r="P133" i="7"/>
  <c r="P132" i="7"/>
  <c r="P129" i="7"/>
  <c r="O113" i="7"/>
  <c r="O115" i="7"/>
  <c r="O102" i="7"/>
  <c r="O101" i="7"/>
  <c r="O98" i="7"/>
  <c r="O96" i="7"/>
  <c r="O100" i="7"/>
  <c r="N78" i="7"/>
  <c r="N66" i="7"/>
  <c r="N76" i="7"/>
  <c r="N84" i="7"/>
  <c r="N72" i="7"/>
  <c r="N53" i="7"/>
  <c r="N56" i="7"/>
  <c r="N60" i="7"/>
  <c r="N58" i="7"/>
  <c r="N59" i="7"/>
  <c r="N52" i="7"/>
  <c r="N61" i="7"/>
  <c r="N50" i="7"/>
  <c r="P17" i="7"/>
  <c r="P224" i="7" s="1"/>
  <c r="P229" i="7" s="1"/>
  <c r="M89" i="7"/>
  <c r="M207" i="7" s="1"/>
  <c r="P171" i="7"/>
  <c r="Q199" i="7"/>
  <c r="M42" i="7"/>
  <c r="M43" i="7"/>
  <c r="N121" i="7"/>
  <c r="P172" i="7"/>
  <c r="Q201" i="7"/>
  <c r="M87" i="7"/>
  <c r="M205" i="7" s="1"/>
  <c r="P202" i="7"/>
  <c r="P212" i="7" s="1"/>
  <c r="K213" i="7"/>
  <c r="G13" i="18"/>
  <c r="L44" i="7"/>
  <c r="M7" i="15"/>
  <c r="O18" i="7"/>
  <c r="M8" i="10"/>
  <c r="N119" i="7"/>
  <c r="O144" i="7"/>
  <c r="P170" i="7"/>
  <c r="Q200" i="7"/>
  <c r="O173" i="7"/>
  <c r="N217" i="7" l="1"/>
  <c r="N220" i="7" s="1"/>
  <c r="R218" i="7"/>
  <c r="M220" i="7"/>
  <c r="M222" i="7"/>
  <c r="L225" i="7"/>
  <c r="L227" i="7"/>
  <c r="L230" i="7" s="1"/>
  <c r="P223" i="7"/>
  <c r="P228" i="7" s="1"/>
  <c r="M7" i="14"/>
  <c r="O68" i="7"/>
  <c r="N7" i="10"/>
  <c r="N8" i="10" s="1"/>
  <c r="N8" i="14"/>
  <c r="N10" i="18"/>
  <c r="R155" i="7"/>
  <c r="X32" i="7"/>
  <c r="X34" i="7" s="1"/>
  <c r="V32" i="7"/>
  <c r="V34" i="7" s="1"/>
  <c r="T32" i="7"/>
  <c r="T34" i="7" s="1"/>
  <c r="R32" i="7"/>
  <c r="R34" i="7" s="1"/>
  <c r="P32" i="7"/>
  <c r="P34" i="7" s="1"/>
  <c r="Y32" i="7"/>
  <c r="Y34" i="7" s="1"/>
  <c r="W32" i="7"/>
  <c r="W34" i="7" s="1"/>
  <c r="U32" i="7"/>
  <c r="U34" i="7" s="1"/>
  <c r="S32" i="7"/>
  <c r="S34" i="7" s="1"/>
  <c r="Q32" i="7"/>
  <c r="Q34" i="7" s="1"/>
  <c r="O32" i="7"/>
  <c r="O34" i="7" s="1"/>
  <c r="H18" i="14"/>
  <c r="J14" i="10"/>
  <c r="J12" i="14"/>
  <c r="J14" i="14" s="1"/>
  <c r="K10" i="14"/>
  <c r="K9" i="15" s="1"/>
  <c r="K12" i="10"/>
  <c r="L10" i="10"/>
  <c r="N18" i="10"/>
  <c r="G14" i="15"/>
  <c r="F51" i="12"/>
  <c r="F53" i="12" s="1"/>
  <c r="F55" i="12" s="1"/>
  <c r="F57" i="12" s="1"/>
  <c r="G47" i="12" s="1"/>
  <c r="J77" i="12"/>
  <c r="I81" i="12"/>
  <c r="I74" i="12"/>
  <c r="I79" i="12" s="1"/>
  <c r="H14" i="15"/>
  <c r="O147" i="7"/>
  <c r="Q171" i="7"/>
  <c r="I19" i="10"/>
  <c r="O121" i="7"/>
  <c r="E37" i="12"/>
  <c r="E41" i="12" s="1"/>
  <c r="E102" i="12" s="1"/>
  <c r="P173" i="7"/>
  <c r="I38" i="10"/>
  <c r="Q170" i="7"/>
  <c r="R200" i="7"/>
  <c r="G59" i="17"/>
  <c r="G30" i="15"/>
  <c r="S182" i="7"/>
  <c r="S183" i="7"/>
  <c r="S192" i="7"/>
  <c r="R158" i="7"/>
  <c r="R163" i="7"/>
  <c r="Q131" i="7"/>
  <c r="Q135" i="7"/>
  <c r="Q132" i="7"/>
  <c r="P110" i="7"/>
  <c r="P98" i="7"/>
  <c r="P103" i="7"/>
  <c r="P117" i="7"/>
  <c r="O79" i="7"/>
  <c r="O65" i="7"/>
  <c r="O53" i="7"/>
  <c r="O52" i="7"/>
  <c r="O61" i="7"/>
  <c r="S177" i="7"/>
  <c r="S188" i="7"/>
  <c r="S179" i="7"/>
  <c r="S189" i="7"/>
  <c r="S191" i="7"/>
  <c r="S186" i="7"/>
  <c r="S194" i="7"/>
  <c r="S184" i="7"/>
  <c r="S185" i="7"/>
  <c r="S196" i="7"/>
  <c r="R156" i="7"/>
  <c r="R165" i="7"/>
  <c r="R153" i="7"/>
  <c r="R152" i="7"/>
  <c r="R157" i="7"/>
  <c r="R167" i="7"/>
  <c r="R168" i="7"/>
  <c r="R161" i="7"/>
  <c r="Q133" i="7"/>
  <c r="Q127" i="7"/>
  <c r="Q128" i="7"/>
  <c r="Q137" i="7"/>
  <c r="Q129" i="7"/>
  <c r="Q130" i="7"/>
  <c r="Q134" i="7"/>
  <c r="P116" i="7"/>
  <c r="P99" i="7"/>
  <c r="P94" i="7"/>
  <c r="P104" i="7"/>
  <c r="P115" i="7"/>
  <c r="P112" i="7"/>
  <c r="P106" i="7"/>
  <c r="P105" i="7"/>
  <c r="P96" i="7"/>
  <c r="P95" i="7"/>
  <c r="O66" i="7"/>
  <c r="O74" i="7"/>
  <c r="O76" i="7"/>
  <c r="O84" i="7"/>
  <c r="O78" i="7"/>
  <c r="O83" i="7"/>
  <c r="O69" i="7"/>
  <c r="O64" i="7"/>
  <c r="O57" i="7"/>
  <c r="O51" i="7"/>
  <c r="O63" i="7"/>
  <c r="O62" i="7"/>
  <c r="O55" i="7"/>
  <c r="O54" i="7"/>
  <c r="O85" i="7"/>
  <c r="S181" i="7"/>
  <c r="S178" i="7"/>
  <c r="S180" i="7"/>
  <c r="S187" i="7"/>
  <c r="S197" i="7"/>
  <c r="S193" i="7"/>
  <c r="R164" i="7"/>
  <c r="R151" i="7"/>
  <c r="R154" i="7"/>
  <c r="R159" i="7"/>
  <c r="R160" i="7"/>
  <c r="Q139" i="7"/>
  <c r="Q138" i="7"/>
  <c r="Q141" i="7"/>
  <c r="Q126" i="7"/>
  <c r="Q142" i="7"/>
  <c r="P113" i="7"/>
  <c r="P111" i="7"/>
  <c r="P102" i="7"/>
  <c r="P108" i="7"/>
  <c r="P101" i="7"/>
  <c r="P97" i="7"/>
  <c r="P100" i="7"/>
  <c r="O71" i="7"/>
  <c r="O75" i="7"/>
  <c r="O82" i="7"/>
  <c r="O81" i="7"/>
  <c r="O80" i="7"/>
  <c r="O72" i="7"/>
  <c r="O50" i="7"/>
  <c r="O59" i="7"/>
  <c r="O56" i="7"/>
  <c r="O60" i="7"/>
  <c r="O58" i="7"/>
  <c r="L213" i="7"/>
  <c r="Q202" i="7"/>
  <c r="Q212" i="7" s="1"/>
  <c r="N7" i="15"/>
  <c r="P18" i="7"/>
  <c r="H41" i="10"/>
  <c r="H38" i="10"/>
  <c r="H47" i="17" s="1"/>
  <c r="H21" i="15" s="1"/>
  <c r="N87" i="7"/>
  <c r="N205" i="7" s="1"/>
  <c r="N89" i="7"/>
  <c r="N207" i="7" s="1"/>
  <c r="R199" i="7"/>
  <c r="Q172" i="7"/>
  <c r="R201" i="7"/>
  <c r="P146" i="7"/>
  <c r="M44" i="7"/>
  <c r="Q17" i="7"/>
  <c r="Q224" i="7" s="1"/>
  <c r="Q229" i="7" s="1"/>
  <c r="O119" i="7"/>
  <c r="P144" i="7"/>
  <c r="P145" i="7"/>
  <c r="N43" i="7"/>
  <c r="N42" i="7"/>
  <c r="N222" i="7" l="1"/>
  <c r="S218" i="7"/>
  <c r="N225" i="7"/>
  <c r="J29" i="38" s="1"/>
  <c r="J32" i="38" s="1"/>
  <c r="N227" i="7"/>
  <c r="N230" i="7" s="1"/>
  <c r="O217" i="7"/>
  <c r="Q223" i="7"/>
  <c r="Q228" i="7" s="1"/>
  <c r="M225" i="7"/>
  <c r="M227" i="7"/>
  <c r="M230" i="7" s="1"/>
  <c r="R223" i="7"/>
  <c r="R228" i="7" s="1"/>
  <c r="N7" i="14"/>
  <c r="P68" i="7"/>
  <c r="O7" i="10"/>
  <c r="O10" i="18"/>
  <c r="O8" i="14"/>
  <c r="S155" i="7"/>
  <c r="O18" i="10"/>
  <c r="S10" i="10"/>
  <c r="R10" i="10"/>
  <c r="U10" i="10"/>
  <c r="P10" i="10"/>
  <c r="N10" i="10"/>
  <c r="O10" i="10"/>
  <c r="W10" i="10"/>
  <c r="V10" i="10"/>
  <c r="Q10" i="10"/>
  <c r="M10" i="10"/>
  <c r="T10" i="10"/>
  <c r="L10" i="14"/>
  <c r="L9" i="15" s="1"/>
  <c r="L12" i="10"/>
  <c r="K12" i="14"/>
  <c r="K14" i="14" s="1"/>
  <c r="K14" i="10"/>
  <c r="I18" i="14"/>
  <c r="I47" i="17"/>
  <c r="I21" i="15" s="1"/>
  <c r="G51" i="12"/>
  <c r="G53" i="12" s="1"/>
  <c r="G55" i="12" s="1"/>
  <c r="G57" i="12" s="1"/>
  <c r="H47" i="12" s="1"/>
  <c r="E39" i="12"/>
  <c r="E43" i="12" s="1"/>
  <c r="F31" i="12" s="1"/>
  <c r="F13" i="15"/>
  <c r="I83" i="12"/>
  <c r="I14" i="15" s="1"/>
  <c r="F37" i="12"/>
  <c r="F41" i="12" s="1"/>
  <c r="F102" i="12" s="1"/>
  <c r="L77" i="12"/>
  <c r="J81" i="12"/>
  <c r="K77" i="12"/>
  <c r="I41" i="10"/>
  <c r="I56" i="17" s="1"/>
  <c r="Q173" i="7"/>
  <c r="P121" i="7"/>
  <c r="J19" i="10"/>
  <c r="Q144" i="7"/>
  <c r="R172" i="7"/>
  <c r="I20" i="10"/>
  <c r="I22" i="14" s="1"/>
  <c r="N44" i="7"/>
  <c r="R17" i="7"/>
  <c r="R224" i="7" s="1"/>
  <c r="R229" i="7" s="1"/>
  <c r="R202" i="7"/>
  <c r="R212" i="7" s="1"/>
  <c r="H20" i="10"/>
  <c r="H22" i="14" s="1"/>
  <c r="H56" i="17"/>
  <c r="T177" i="7"/>
  <c r="T194" i="7"/>
  <c r="T184" i="7"/>
  <c r="S159" i="7"/>
  <c r="S161" i="7"/>
  <c r="R139" i="7"/>
  <c r="R135" i="7"/>
  <c r="Q104" i="7"/>
  <c r="Q105" i="7"/>
  <c r="Q100" i="7"/>
  <c r="P79" i="7"/>
  <c r="P82" i="7"/>
  <c r="P72" i="7"/>
  <c r="P50" i="7"/>
  <c r="P56" i="7"/>
  <c r="T196" i="7"/>
  <c r="T181" i="7"/>
  <c r="T188" i="7"/>
  <c r="T191" i="7"/>
  <c r="T185" i="7"/>
  <c r="T192" i="7"/>
  <c r="T179" i="7"/>
  <c r="T178" i="7"/>
  <c r="T193" i="7"/>
  <c r="T197" i="7"/>
  <c r="S153" i="7"/>
  <c r="S152" i="7"/>
  <c r="S156" i="7"/>
  <c r="S167" i="7"/>
  <c r="S154" i="7"/>
  <c r="S165" i="7"/>
  <c r="S160" i="7"/>
  <c r="S168" i="7"/>
  <c r="R141" i="7"/>
  <c r="R133" i="7"/>
  <c r="R131" i="7"/>
  <c r="R137" i="7"/>
  <c r="R126" i="7"/>
  <c r="R130" i="7"/>
  <c r="R134" i="7"/>
  <c r="Q113" i="7"/>
  <c r="Q110" i="7"/>
  <c r="Q116" i="7"/>
  <c r="Q111" i="7"/>
  <c r="Q94" i="7"/>
  <c r="Q99" i="7"/>
  <c r="Q112" i="7"/>
  <c r="Q106" i="7"/>
  <c r="Q97" i="7"/>
  <c r="Q98" i="7"/>
  <c r="Q117" i="7"/>
  <c r="P66" i="7"/>
  <c r="P74" i="7"/>
  <c r="P76" i="7"/>
  <c r="P81" i="7"/>
  <c r="P84" i="7"/>
  <c r="P80" i="7"/>
  <c r="P69" i="7"/>
  <c r="P55" i="7"/>
  <c r="P54" i="7"/>
  <c r="P64" i="7"/>
  <c r="P57" i="7"/>
  <c r="P51" i="7"/>
  <c r="P63" i="7"/>
  <c r="P62" i="7"/>
  <c r="P85" i="7"/>
  <c r="T182" i="7"/>
  <c r="T180" i="7"/>
  <c r="T186" i="7"/>
  <c r="T183" i="7"/>
  <c r="T189" i="7"/>
  <c r="T187" i="7"/>
  <c r="S158" i="7"/>
  <c r="S151" i="7"/>
  <c r="S164" i="7"/>
  <c r="S163" i="7"/>
  <c r="S157" i="7"/>
  <c r="R128" i="7"/>
  <c r="R127" i="7"/>
  <c r="R138" i="7"/>
  <c r="R129" i="7"/>
  <c r="R132" i="7"/>
  <c r="R142" i="7"/>
  <c r="Q108" i="7"/>
  <c r="Q101" i="7"/>
  <c r="Q115" i="7"/>
  <c r="Q102" i="7"/>
  <c r="Q96" i="7"/>
  <c r="Q103" i="7"/>
  <c r="Q95" i="7"/>
  <c r="P71" i="7"/>
  <c r="P75" i="7"/>
  <c r="P83" i="7"/>
  <c r="P78" i="7"/>
  <c r="P65" i="7"/>
  <c r="P61" i="7"/>
  <c r="P58" i="7"/>
  <c r="P53" i="7"/>
  <c r="P59" i="7"/>
  <c r="P52" i="7"/>
  <c r="P60" i="7"/>
  <c r="Q43" i="7"/>
  <c r="Q42" i="7"/>
  <c r="Y43" i="7"/>
  <c r="Y42" i="7"/>
  <c r="X43" i="7"/>
  <c r="X42" i="7"/>
  <c r="O89" i="7"/>
  <c r="O207" i="7" s="1"/>
  <c r="P119" i="7"/>
  <c r="Q145" i="7"/>
  <c r="S201" i="7"/>
  <c r="W42" i="7"/>
  <c r="W43" i="7"/>
  <c r="R42" i="7"/>
  <c r="R43" i="7"/>
  <c r="R171" i="7"/>
  <c r="P43" i="7"/>
  <c r="P42" i="7"/>
  <c r="P147" i="7"/>
  <c r="O7" i="15"/>
  <c r="O8" i="10"/>
  <c r="Q18" i="7"/>
  <c r="M213" i="7"/>
  <c r="O43" i="7"/>
  <c r="O42" i="7"/>
  <c r="I13" i="18"/>
  <c r="O87" i="7"/>
  <c r="O205" i="7" s="1"/>
  <c r="Q146" i="7"/>
  <c r="R170" i="7"/>
  <c r="U42" i="7"/>
  <c r="U43" i="7"/>
  <c r="T42" i="7"/>
  <c r="T43" i="7"/>
  <c r="S200" i="7"/>
  <c r="S199" i="7"/>
  <c r="S43" i="7"/>
  <c r="S42" i="7"/>
  <c r="V42" i="7"/>
  <c r="V43" i="7"/>
  <c r="P217" i="7" l="1"/>
  <c r="O220" i="7"/>
  <c r="O222" i="7"/>
  <c r="T218" i="7"/>
  <c r="O7" i="14"/>
  <c r="Q68" i="7"/>
  <c r="P7" i="10"/>
  <c r="P8" i="10" s="1"/>
  <c r="P8" i="14"/>
  <c r="P10" i="18"/>
  <c r="J18" i="14"/>
  <c r="Y10" i="10"/>
  <c r="T155" i="7"/>
  <c r="L14" i="10"/>
  <c r="L12" i="14"/>
  <c r="L14" i="14" s="1"/>
  <c r="T10" i="14"/>
  <c r="T9" i="15" s="1"/>
  <c r="T12" i="10"/>
  <c r="M10" i="14"/>
  <c r="M9" i="15" s="1"/>
  <c r="M12" i="10"/>
  <c r="Q10" i="14"/>
  <c r="Q9" i="15" s="1"/>
  <c r="Q12" i="10"/>
  <c r="V10" i="14"/>
  <c r="V9" i="15" s="1"/>
  <c r="V12" i="10"/>
  <c r="W10" i="14"/>
  <c r="W9" i="15" s="1"/>
  <c r="W12" i="10"/>
  <c r="O10" i="14"/>
  <c r="O9" i="15" s="1"/>
  <c r="O12" i="10"/>
  <c r="N10" i="14"/>
  <c r="N9" i="15" s="1"/>
  <c r="N12" i="10"/>
  <c r="P10" i="14"/>
  <c r="P9" i="15" s="1"/>
  <c r="P12" i="10"/>
  <c r="U10" i="14"/>
  <c r="U9" i="15" s="1"/>
  <c r="U12" i="10"/>
  <c r="R10" i="14"/>
  <c r="R9" i="15" s="1"/>
  <c r="R12" i="10"/>
  <c r="S10" i="14"/>
  <c r="S9" i="15" s="1"/>
  <c r="S12" i="10"/>
  <c r="H51" i="12"/>
  <c r="H53" i="12" s="1"/>
  <c r="H55" i="12" s="1"/>
  <c r="H57" i="12" s="1"/>
  <c r="Q121" i="7"/>
  <c r="G13" i="15"/>
  <c r="J74" i="12"/>
  <c r="J79" i="12" s="1"/>
  <c r="J83" i="12" s="1"/>
  <c r="F39" i="12"/>
  <c r="F43" i="12" s="1"/>
  <c r="M77" i="12"/>
  <c r="M81" i="12" s="1"/>
  <c r="K81" i="12"/>
  <c r="L81" i="12"/>
  <c r="X44" i="7"/>
  <c r="X213" i="7" s="1"/>
  <c r="V19" i="10" s="1"/>
  <c r="Q44" i="7"/>
  <c r="O44" i="7"/>
  <c r="O213" i="7" s="1"/>
  <c r="M19" i="10" s="1"/>
  <c r="Y44" i="7"/>
  <c r="K19" i="10"/>
  <c r="R173" i="7"/>
  <c r="P44" i="7"/>
  <c r="W44" i="7"/>
  <c r="S171" i="7"/>
  <c r="S170" i="7"/>
  <c r="S202" i="7"/>
  <c r="S212" i="7" s="1"/>
  <c r="T44" i="7"/>
  <c r="P18" i="10"/>
  <c r="V44" i="7"/>
  <c r="R144" i="7"/>
  <c r="R146" i="7"/>
  <c r="S172" i="7"/>
  <c r="T200" i="7"/>
  <c r="T199" i="7"/>
  <c r="J13" i="18"/>
  <c r="H59" i="17"/>
  <c r="H30" i="15"/>
  <c r="I30" i="15" s="1"/>
  <c r="P7" i="15"/>
  <c r="R18" i="7"/>
  <c r="S44" i="7"/>
  <c r="U44" i="7"/>
  <c r="J41" i="10"/>
  <c r="J56" i="17" s="1"/>
  <c r="J38" i="10"/>
  <c r="J47" i="17" s="1"/>
  <c r="J21" i="15" s="1"/>
  <c r="U179" i="7"/>
  <c r="U182" i="7"/>
  <c r="U186" i="7"/>
  <c r="U191" i="7"/>
  <c r="T151" i="7"/>
  <c r="T167" i="7"/>
  <c r="T168" i="7"/>
  <c r="S137" i="7"/>
  <c r="S135" i="7"/>
  <c r="R116" i="7"/>
  <c r="R110" i="7"/>
  <c r="R103" i="7"/>
  <c r="R112" i="7"/>
  <c r="Q80" i="7"/>
  <c r="Q74" i="7"/>
  <c r="Q55" i="7"/>
  <c r="Q57" i="7"/>
  <c r="Q63" i="7"/>
  <c r="Q85" i="7"/>
  <c r="U180" i="7"/>
  <c r="U178" i="7"/>
  <c r="U183" i="7"/>
  <c r="U197" i="7"/>
  <c r="U181" i="7"/>
  <c r="U193" i="7"/>
  <c r="U192" i="7"/>
  <c r="U194" i="7"/>
  <c r="U185" i="7"/>
  <c r="U187" i="7"/>
  <c r="T156" i="7"/>
  <c r="T154" i="7"/>
  <c r="T159" i="7"/>
  <c r="T164" i="7"/>
  <c r="T153" i="7"/>
  <c r="T165" i="7"/>
  <c r="T160" i="7"/>
  <c r="S139" i="7"/>
  <c r="S127" i="7"/>
  <c r="S138" i="7"/>
  <c r="S133" i="7"/>
  <c r="S126" i="7"/>
  <c r="S130" i="7"/>
  <c r="S129" i="7"/>
  <c r="S142" i="7"/>
  <c r="R104" i="7"/>
  <c r="R101" i="7"/>
  <c r="R111" i="7"/>
  <c r="R99" i="7"/>
  <c r="R94" i="7"/>
  <c r="R105" i="7"/>
  <c r="R96" i="7"/>
  <c r="R95" i="7"/>
  <c r="R98" i="7"/>
  <c r="R97" i="7"/>
  <c r="Q78" i="7"/>
  <c r="Q83" i="7"/>
  <c r="Q71" i="7"/>
  <c r="Q75" i="7"/>
  <c r="Q79" i="7"/>
  <c r="Q82" i="7"/>
  <c r="Q65" i="7"/>
  <c r="Q72" i="7"/>
  <c r="Q61" i="7"/>
  <c r="Q58" i="7"/>
  <c r="Q50" i="7"/>
  <c r="Q53" i="7"/>
  <c r="Q59" i="7"/>
  <c r="Q56" i="7"/>
  <c r="Q52" i="7"/>
  <c r="Q60" i="7"/>
  <c r="U184" i="7"/>
  <c r="U189" i="7"/>
  <c r="U177" i="7"/>
  <c r="U188" i="7"/>
  <c r="U196" i="7"/>
  <c r="T152" i="7"/>
  <c r="T157" i="7"/>
  <c r="T163" i="7"/>
  <c r="T158" i="7"/>
  <c r="T161" i="7"/>
  <c r="S128" i="7"/>
  <c r="S131" i="7"/>
  <c r="S141" i="7"/>
  <c r="S132" i="7"/>
  <c r="S134" i="7"/>
  <c r="R113" i="7"/>
  <c r="R108" i="7"/>
  <c r="R115" i="7"/>
  <c r="R102" i="7"/>
  <c r="R100" i="7"/>
  <c r="R106" i="7"/>
  <c r="R117" i="7"/>
  <c r="Q81" i="7"/>
  <c r="Q66" i="7"/>
  <c r="Q76" i="7"/>
  <c r="Q84" i="7"/>
  <c r="Q69" i="7"/>
  <c r="Q54" i="7"/>
  <c r="Q64" i="7"/>
  <c r="Q51" i="7"/>
  <c r="Q62" i="7"/>
  <c r="R44" i="7"/>
  <c r="Q147" i="7"/>
  <c r="P89" i="7"/>
  <c r="P207" i="7" s="1"/>
  <c r="Q119" i="7"/>
  <c r="R145" i="7"/>
  <c r="T201" i="7"/>
  <c r="P87" i="7"/>
  <c r="P205" i="7" s="1"/>
  <c r="I59" i="17"/>
  <c r="S17" i="7"/>
  <c r="S224" i="7" s="1"/>
  <c r="S229" i="7" s="1"/>
  <c r="G37" i="12"/>
  <c r="N213" i="7"/>
  <c r="U218" i="7" l="1"/>
  <c r="Q217" i="7"/>
  <c r="S223" i="7"/>
  <c r="S228" i="7" s="1"/>
  <c r="O225" i="7"/>
  <c r="K29" i="38" s="1"/>
  <c r="K32" i="38" s="1"/>
  <c r="O227" i="7"/>
  <c r="O230" i="7" s="1"/>
  <c r="P220" i="7"/>
  <c r="P222" i="7"/>
  <c r="P7" i="14"/>
  <c r="R68" i="7"/>
  <c r="Q7" i="10"/>
  <c r="Q10" i="18"/>
  <c r="Q8" i="14"/>
  <c r="U201" i="7"/>
  <c r="M18" i="14"/>
  <c r="V18" i="14"/>
  <c r="K18" i="14"/>
  <c r="Y12" i="10"/>
  <c r="U155" i="7"/>
  <c r="O12" i="14"/>
  <c r="O14" i="14" s="1"/>
  <c r="O14" i="10"/>
  <c r="W12" i="14"/>
  <c r="W14" i="10"/>
  <c r="V14" i="10"/>
  <c r="V12" i="14"/>
  <c r="V14" i="14" s="1"/>
  <c r="Q12" i="14"/>
  <c r="Q14" i="14" s="1"/>
  <c r="Q14" i="10"/>
  <c r="M12" i="14"/>
  <c r="M14" i="14" s="1"/>
  <c r="M14" i="10"/>
  <c r="T14" i="10"/>
  <c r="T12" i="14"/>
  <c r="T14" i="14" s="1"/>
  <c r="S12" i="14"/>
  <c r="S14" i="14" s="1"/>
  <c r="S14" i="10"/>
  <c r="R14" i="10"/>
  <c r="R12" i="14"/>
  <c r="R14" i="14" s="1"/>
  <c r="U12" i="14"/>
  <c r="U14" i="14" s="1"/>
  <c r="U14" i="10"/>
  <c r="P14" i="10"/>
  <c r="P12" i="14"/>
  <c r="P14" i="14" s="1"/>
  <c r="N14" i="10"/>
  <c r="N12" i="14"/>
  <c r="N14" i="14" s="1"/>
  <c r="Q18" i="10"/>
  <c r="I51" i="12"/>
  <c r="N77" i="12"/>
  <c r="K74" i="12"/>
  <c r="K79" i="12" s="1"/>
  <c r="K83" i="12" s="1"/>
  <c r="J14" i="15"/>
  <c r="G31" i="12"/>
  <c r="G39" i="12" s="1"/>
  <c r="Y213" i="7"/>
  <c r="W19" i="10" s="1"/>
  <c r="Q213" i="7"/>
  <c r="O19" i="10" s="1"/>
  <c r="L19" i="10"/>
  <c r="S173" i="7"/>
  <c r="W213" i="7"/>
  <c r="U19" i="10" s="1"/>
  <c r="T213" i="7"/>
  <c r="R19" i="10" s="1"/>
  <c r="P213" i="7"/>
  <c r="N19" i="10" s="1"/>
  <c r="U199" i="7"/>
  <c r="T172" i="7"/>
  <c r="T17" i="7"/>
  <c r="T224" i="7" s="1"/>
  <c r="T229" i="7" s="1"/>
  <c r="R213" i="7"/>
  <c r="P19" i="10" s="1"/>
  <c r="R121" i="7"/>
  <c r="Q87" i="7"/>
  <c r="Q205" i="7" s="1"/>
  <c r="Q89" i="7"/>
  <c r="Q207" i="7" s="1"/>
  <c r="U200" i="7"/>
  <c r="J59" i="17"/>
  <c r="J30" i="15"/>
  <c r="S213" i="7"/>
  <c r="Q19" i="10" s="1"/>
  <c r="I47" i="12"/>
  <c r="H13" i="15"/>
  <c r="K13" i="18"/>
  <c r="R147" i="7"/>
  <c r="K41" i="10"/>
  <c r="K56" i="17" s="1"/>
  <c r="K38" i="10"/>
  <c r="K47" i="17" s="1"/>
  <c r="K21" i="15" s="1"/>
  <c r="G41" i="12"/>
  <c r="G102" i="12" s="1"/>
  <c r="Q7" i="15"/>
  <c r="Q8" i="10"/>
  <c r="S18" i="7"/>
  <c r="S146" i="7"/>
  <c r="T171" i="7"/>
  <c r="R119" i="7"/>
  <c r="S144" i="7"/>
  <c r="S145" i="7"/>
  <c r="T170" i="7"/>
  <c r="J20" i="10"/>
  <c r="J22" i="14" s="1"/>
  <c r="U213" i="7"/>
  <c r="S19" i="10" s="1"/>
  <c r="V193" i="7"/>
  <c r="V185" i="7"/>
  <c r="V189" i="7"/>
  <c r="V187" i="7"/>
  <c r="V191" i="7"/>
  <c r="V194" i="7"/>
  <c r="V178" i="7"/>
  <c r="V182" i="7"/>
  <c r="V179" i="7"/>
  <c r="U151" i="7"/>
  <c r="U159" i="7"/>
  <c r="U164" i="7"/>
  <c r="U165" i="7"/>
  <c r="U158" i="7"/>
  <c r="U163" i="7"/>
  <c r="U168" i="7"/>
  <c r="U161" i="7"/>
  <c r="T139" i="7"/>
  <c r="T127" i="7"/>
  <c r="T138" i="7"/>
  <c r="T128" i="7"/>
  <c r="T135" i="7"/>
  <c r="T132" i="7"/>
  <c r="T126" i="7"/>
  <c r="T142" i="7"/>
  <c r="S113" i="7"/>
  <c r="S115" i="7"/>
  <c r="S102" i="7"/>
  <c r="S116" i="7"/>
  <c r="S111" i="7"/>
  <c r="S101" i="7"/>
  <c r="S98" i="7"/>
  <c r="S105" i="7"/>
  <c r="S96" i="7"/>
  <c r="S100" i="7"/>
  <c r="S117" i="7"/>
  <c r="R81" i="7"/>
  <c r="R84" i="7"/>
  <c r="R80" i="7"/>
  <c r="R66" i="7"/>
  <c r="R74" i="7"/>
  <c r="R76" i="7"/>
  <c r="R69" i="7"/>
  <c r="R57" i="7"/>
  <c r="R51" i="7"/>
  <c r="R63" i="7"/>
  <c r="R62" i="7"/>
  <c r="R55" i="7"/>
  <c r="R54" i="7"/>
  <c r="R64" i="7"/>
  <c r="R85" i="7"/>
  <c r="T129" i="7"/>
  <c r="S99" i="7"/>
  <c r="S110" i="7"/>
  <c r="S95" i="7"/>
  <c r="S106" i="7"/>
  <c r="S97" i="7"/>
  <c r="V188" i="7"/>
  <c r="V177" i="7"/>
  <c r="V184" i="7"/>
  <c r="V197" i="7"/>
  <c r="V183" i="7"/>
  <c r="V186" i="7"/>
  <c r="V181" i="7"/>
  <c r="V192" i="7"/>
  <c r="V180" i="7"/>
  <c r="V196" i="7"/>
  <c r="U156" i="7"/>
  <c r="U167" i="7"/>
  <c r="U157" i="7"/>
  <c r="U153" i="7"/>
  <c r="U152" i="7"/>
  <c r="U154" i="7"/>
  <c r="U160" i="7"/>
  <c r="T137" i="7"/>
  <c r="T131" i="7"/>
  <c r="T141" i="7"/>
  <c r="T133" i="7"/>
  <c r="T130" i="7"/>
  <c r="T134" i="7"/>
  <c r="S104" i="7"/>
  <c r="S94" i="7"/>
  <c r="S108" i="7"/>
  <c r="S103" i="7"/>
  <c r="S112" i="7"/>
  <c r="R78" i="7"/>
  <c r="R71" i="7"/>
  <c r="R79" i="7"/>
  <c r="R72" i="7"/>
  <c r="R59" i="7"/>
  <c r="R52" i="7"/>
  <c r="R61" i="7"/>
  <c r="R50" i="7"/>
  <c r="R83" i="7"/>
  <c r="R75" i="7"/>
  <c r="R53" i="7"/>
  <c r="R60" i="7"/>
  <c r="R82" i="7"/>
  <c r="R65" i="7"/>
  <c r="R56" i="7"/>
  <c r="R58" i="7"/>
  <c r="T202" i="7"/>
  <c r="T212" i="7" s="1"/>
  <c r="H37" i="12"/>
  <c r="H41" i="12" s="1"/>
  <c r="H102" i="12" s="1"/>
  <c r="V213" i="7"/>
  <c r="T19" i="10" s="1"/>
  <c r="W14" i="14" l="1"/>
  <c r="AC14" i="14"/>
  <c r="R217" i="7"/>
  <c r="V218" i="7"/>
  <c r="P225" i="7"/>
  <c r="L29" i="38" s="1"/>
  <c r="L32" i="38" s="1"/>
  <c r="P227" i="7"/>
  <c r="P230" i="7" s="1"/>
  <c r="Q220" i="7"/>
  <c r="Q222" i="7"/>
  <c r="T223" i="7"/>
  <c r="T228" i="7" s="1"/>
  <c r="Q7" i="14"/>
  <c r="S68" i="7"/>
  <c r="R7" i="10"/>
  <c r="R8" i="10" s="1"/>
  <c r="R8" i="14"/>
  <c r="R10" i="18"/>
  <c r="Q18" i="14"/>
  <c r="P18" i="14"/>
  <c r="R18" i="14"/>
  <c r="L18" i="14"/>
  <c r="T18" i="14"/>
  <c r="S18" i="14"/>
  <c r="N18" i="14"/>
  <c r="U18" i="14"/>
  <c r="O18" i="14"/>
  <c r="W18" i="14"/>
  <c r="AC17" i="14" s="1"/>
  <c r="Y19" i="10"/>
  <c r="Y14" i="10"/>
  <c r="V155" i="7"/>
  <c r="R18" i="10"/>
  <c r="I53" i="12"/>
  <c r="I55" i="12" s="1"/>
  <c r="I57" i="12" s="1"/>
  <c r="I13" i="15" s="1"/>
  <c r="J51" i="12"/>
  <c r="V201" i="7"/>
  <c r="S38" i="10"/>
  <c r="S13" i="18"/>
  <c r="O77" i="12"/>
  <c r="L74" i="12"/>
  <c r="L79" i="12" s="1"/>
  <c r="L83" i="12" s="1"/>
  <c r="K14" i="15"/>
  <c r="N81" i="12"/>
  <c r="P41" i="10"/>
  <c r="G43" i="12"/>
  <c r="T145" i="7"/>
  <c r="U202" i="7"/>
  <c r="U212" i="7" s="1"/>
  <c r="N41" i="10"/>
  <c r="V13" i="18"/>
  <c r="O38" i="10"/>
  <c r="Q41" i="10"/>
  <c r="T173" i="7"/>
  <c r="L13" i="18"/>
  <c r="T146" i="7"/>
  <c r="R89" i="7"/>
  <c r="R207" i="7" s="1"/>
  <c r="T144" i="7"/>
  <c r="U170" i="7"/>
  <c r="I37" i="12"/>
  <c r="K59" i="17"/>
  <c r="K30" i="15"/>
  <c r="U17" i="7"/>
  <c r="R87" i="7"/>
  <c r="R205" i="7" s="1"/>
  <c r="S119" i="7"/>
  <c r="U172" i="7"/>
  <c r="V199" i="7"/>
  <c r="S121" i="7"/>
  <c r="U171" i="7"/>
  <c r="V200" i="7"/>
  <c r="S147" i="7"/>
  <c r="L38" i="10"/>
  <c r="L47" i="17" s="1"/>
  <c r="L21" i="15" s="1"/>
  <c r="L41" i="10"/>
  <c r="L56" i="17" s="1"/>
  <c r="W177" i="7"/>
  <c r="W196" i="7"/>
  <c r="W183" i="7"/>
  <c r="W188" i="7"/>
  <c r="W192" i="7"/>
  <c r="W194" i="7"/>
  <c r="W186" i="7"/>
  <c r="W178" i="7"/>
  <c r="W184" i="7"/>
  <c r="W180" i="7"/>
  <c r="V151" i="7"/>
  <c r="V158" i="7"/>
  <c r="V165" i="7"/>
  <c r="V152" i="7"/>
  <c r="V157" i="7"/>
  <c r="V164" i="7"/>
  <c r="V161" i="7"/>
  <c r="V160" i="7"/>
  <c r="U133" i="7"/>
  <c r="U127" i="7"/>
  <c r="U141" i="7"/>
  <c r="U137" i="7"/>
  <c r="U130" i="7"/>
  <c r="U129" i="7"/>
  <c r="U134" i="7"/>
  <c r="T113" i="7"/>
  <c r="T111" i="7"/>
  <c r="T99" i="7"/>
  <c r="T94" i="7"/>
  <c r="T104" i="7"/>
  <c r="T101" i="7"/>
  <c r="T106" i="7"/>
  <c r="T105" i="7"/>
  <c r="T103" i="7"/>
  <c r="T100" i="7"/>
  <c r="T117" i="7"/>
  <c r="S84" i="7"/>
  <c r="S80" i="7"/>
  <c r="S71" i="7"/>
  <c r="S75" i="7"/>
  <c r="S79" i="7"/>
  <c r="S83" i="7"/>
  <c r="S69" i="7"/>
  <c r="S55" i="7"/>
  <c r="S54" i="7"/>
  <c r="S63" i="7"/>
  <c r="S64" i="7"/>
  <c r="S57" i="7"/>
  <c r="S51" i="7"/>
  <c r="S56" i="7"/>
  <c r="S85" i="7"/>
  <c r="W181" i="7"/>
  <c r="W179" i="7"/>
  <c r="W191" i="7"/>
  <c r="W197" i="7"/>
  <c r="W189" i="7"/>
  <c r="V153" i="7"/>
  <c r="V156" i="7"/>
  <c r="V154" i="7"/>
  <c r="V163" i="7"/>
  <c r="V168" i="7"/>
  <c r="U139" i="7"/>
  <c r="U138" i="7"/>
  <c r="U128" i="7"/>
  <c r="U132" i="7"/>
  <c r="U126" i="7"/>
  <c r="T116" i="7"/>
  <c r="T110" i="7"/>
  <c r="T108" i="7"/>
  <c r="T98" i="7"/>
  <c r="T97" i="7"/>
  <c r="T96" i="7"/>
  <c r="S66" i="7"/>
  <c r="S74" i="7"/>
  <c r="S81" i="7"/>
  <c r="S78" i="7"/>
  <c r="S72" i="7"/>
  <c r="S61" i="7"/>
  <c r="S62" i="7"/>
  <c r="S50" i="7"/>
  <c r="S59" i="7"/>
  <c r="S52" i="7"/>
  <c r="W193" i="7"/>
  <c r="W182" i="7"/>
  <c r="W185" i="7"/>
  <c r="W187" i="7"/>
  <c r="V167" i="7"/>
  <c r="V159" i="7"/>
  <c r="U131" i="7"/>
  <c r="U135" i="7"/>
  <c r="U142" i="7"/>
  <c r="T115" i="7"/>
  <c r="T102" i="7"/>
  <c r="T112" i="7"/>
  <c r="T95" i="7"/>
  <c r="S82" i="7"/>
  <c r="S76" i="7"/>
  <c r="S65" i="7"/>
  <c r="S58" i="7"/>
  <c r="S53" i="7"/>
  <c r="S60" i="7"/>
  <c r="K20" i="10"/>
  <c r="K22" i="14" s="1"/>
  <c r="R7" i="15"/>
  <c r="T18" i="7"/>
  <c r="S217" i="7" l="1"/>
  <c r="U224" i="7"/>
  <c r="U229" i="7" s="1"/>
  <c r="U223" i="7"/>
  <c r="U228" i="7" s="1"/>
  <c r="Q225" i="7"/>
  <c r="M29" i="38" s="1"/>
  <c r="M32" i="38" s="1"/>
  <c r="Q227" i="7"/>
  <c r="Q230" i="7" s="1"/>
  <c r="W218" i="7"/>
  <c r="R220" i="7"/>
  <c r="R222" i="7"/>
  <c r="R7" i="14"/>
  <c r="T68" i="7"/>
  <c r="S7" i="10"/>
  <c r="S8" i="10" s="1"/>
  <c r="S10" i="18"/>
  <c r="S8" i="14"/>
  <c r="W155" i="7"/>
  <c r="S18" i="10"/>
  <c r="J37" i="12"/>
  <c r="J41" i="12" s="1"/>
  <c r="J47" i="12"/>
  <c r="J53" i="12" s="1"/>
  <c r="J55" i="12" s="1"/>
  <c r="J57" i="12" s="1"/>
  <c r="K51" i="12"/>
  <c r="S41" i="10"/>
  <c r="H31" i="12"/>
  <c r="H39" i="12" s="1"/>
  <c r="H43" i="12" s="1"/>
  <c r="P38" i="10"/>
  <c r="P47" i="17" s="1"/>
  <c r="V172" i="7"/>
  <c r="M41" i="10"/>
  <c r="N56" i="17" s="1"/>
  <c r="N59" i="17" s="1"/>
  <c r="P13" i="18"/>
  <c r="V38" i="10"/>
  <c r="Q56" i="17"/>
  <c r="Q59" i="17" s="1"/>
  <c r="P77" i="12"/>
  <c r="M74" i="12"/>
  <c r="M79" i="12" s="1"/>
  <c r="M83" i="12" s="1"/>
  <c r="L14" i="15"/>
  <c r="O81" i="12"/>
  <c r="N13" i="18"/>
  <c r="T121" i="7"/>
  <c r="O13" i="18"/>
  <c r="V41" i="10"/>
  <c r="W38" i="10"/>
  <c r="U13" i="18"/>
  <c r="N38" i="10"/>
  <c r="U38" i="10"/>
  <c r="U41" i="10"/>
  <c r="M38" i="10"/>
  <c r="M47" i="17" s="1"/>
  <c r="M21" i="15" s="1"/>
  <c r="T147" i="7"/>
  <c r="O41" i="10"/>
  <c r="P56" i="17" s="1"/>
  <c r="P59" i="17" s="1"/>
  <c r="W41" i="10"/>
  <c r="R13" i="18"/>
  <c r="Q38" i="10"/>
  <c r="R38" i="10"/>
  <c r="S47" i="17" s="1"/>
  <c r="R41" i="10"/>
  <c r="Q13" i="18"/>
  <c r="T38" i="10"/>
  <c r="T47" i="17" s="1"/>
  <c r="T41" i="10"/>
  <c r="V171" i="7"/>
  <c r="W200" i="7"/>
  <c r="V202" i="7"/>
  <c r="V212" i="7" s="1"/>
  <c r="W13" i="18"/>
  <c r="U144" i="7"/>
  <c r="T119" i="7"/>
  <c r="U146" i="7"/>
  <c r="V170" i="7"/>
  <c r="W199" i="7"/>
  <c r="L20" i="10"/>
  <c r="L22" i="14" s="1"/>
  <c r="T13" i="18"/>
  <c r="S7" i="15"/>
  <c r="U18" i="7"/>
  <c r="I41" i="12"/>
  <c r="I102" i="12" s="1"/>
  <c r="U173" i="7"/>
  <c r="X188" i="7"/>
  <c r="X189" i="7"/>
  <c r="X179" i="7"/>
  <c r="X194" i="7"/>
  <c r="X186" i="7"/>
  <c r="X183" i="7"/>
  <c r="X181" i="7"/>
  <c r="X180" i="7"/>
  <c r="X193" i="7"/>
  <c r="X196" i="7"/>
  <c r="W158" i="7"/>
  <c r="W163" i="7"/>
  <c r="W157" i="7"/>
  <c r="W156" i="7"/>
  <c r="W167" i="7"/>
  <c r="W152" i="7"/>
  <c r="W161" i="7"/>
  <c r="V141" i="7"/>
  <c r="V133" i="7"/>
  <c r="V137" i="7"/>
  <c r="V131" i="7"/>
  <c r="V129" i="7"/>
  <c r="V130" i="7"/>
  <c r="V134" i="7"/>
  <c r="U116" i="7"/>
  <c r="U111" i="7"/>
  <c r="U101" i="7"/>
  <c r="U115" i="7"/>
  <c r="U102" i="7"/>
  <c r="U105" i="7"/>
  <c r="U96" i="7"/>
  <c r="U100" i="7"/>
  <c r="U103" i="7"/>
  <c r="U95" i="7"/>
  <c r="T66" i="7"/>
  <c r="T74" i="7"/>
  <c r="T76" i="7"/>
  <c r="T84" i="7"/>
  <c r="T81" i="7"/>
  <c r="T78" i="7"/>
  <c r="T69" i="7"/>
  <c r="T55" i="7"/>
  <c r="T54" i="7"/>
  <c r="T64" i="7"/>
  <c r="T57" i="7"/>
  <c r="T51" i="7"/>
  <c r="T63" i="7"/>
  <c r="T62" i="7"/>
  <c r="T85" i="7"/>
  <c r="X197" i="7"/>
  <c r="X178" i="7"/>
  <c r="X185" i="7"/>
  <c r="X177" i="7"/>
  <c r="X187" i="7"/>
  <c r="X184" i="7"/>
  <c r="W154" i="7"/>
  <c r="W165" i="7"/>
  <c r="W159" i="7"/>
  <c r="W164" i="7"/>
  <c r="W160" i="7"/>
  <c r="V128" i="7"/>
  <c r="V127" i="7"/>
  <c r="V135" i="7"/>
  <c r="V132" i="7"/>
  <c r="V142" i="7"/>
  <c r="U108" i="7"/>
  <c r="U104" i="7"/>
  <c r="U99" i="7"/>
  <c r="U112" i="7"/>
  <c r="U97" i="7"/>
  <c r="U117" i="7"/>
  <c r="T75" i="7"/>
  <c r="T79" i="7"/>
  <c r="T83" i="7"/>
  <c r="T80" i="7"/>
  <c r="T72" i="7"/>
  <c r="T61" i="7"/>
  <c r="T50" i="7"/>
  <c r="T59" i="7"/>
  <c r="T56" i="7"/>
  <c r="T60" i="7"/>
  <c r="X192" i="7"/>
  <c r="X191" i="7"/>
  <c r="X182" i="7"/>
  <c r="W153" i="7"/>
  <c r="W151" i="7"/>
  <c r="W168" i="7"/>
  <c r="V139" i="7"/>
  <c r="V138" i="7"/>
  <c r="V126" i="7"/>
  <c r="U113" i="7"/>
  <c r="U110" i="7"/>
  <c r="U94" i="7"/>
  <c r="U106" i="7"/>
  <c r="U98" i="7"/>
  <c r="T71" i="7"/>
  <c r="T82" i="7"/>
  <c r="T65" i="7"/>
  <c r="T58" i="7"/>
  <c r="T53" i="7"/>
  <c r="T52" i="7"/>
  <c r="S87" i="7"/>
  <c r="S205" i="7" s="1"/>
  <c r="S89" i="7"/>
  <c r="S207" i="7" s="1"/>
  <c r="U145" i="7"/>
  <c r="W201" i="7"/>
  <c r="L59" i="17"/>
  <c r="L30" i="15"/>
  <c r="M13" i="18"/>
  <c r="V17" i="7"/>
  <c r="V224" i="7" s="1"/>
  <c r="V229" i="7" s="1"/>
  <c r="T217" i="7" l="1"/>
  <c r="V223" i="7"/>
  <c r="V228" i="7" s="1"/>
  <c r="X218" i="7"/>
  <c r="R225" i="7"/>
  <c r="N29" i="38" s="1"/>
  <c r="N32" i="38" s="1"/>
  <c r="R227" i="7"/>
  <c r="R230" i="7" s="1"/>
  <c r="S220" i="7"/>
  <c r="S222" i="7"/>
  <c r="S7" i="14"/>
  <c r="U68" i="7"/>
  <c r="T7" i="10"/>
  <c r="T8" i="14"/>
  <c r="T10" i="18"/>
  <c r="X155" i="7"/>
  <c r="T18" i="10"/>
  <c r="J13" i="15"/>
  <c r="K47" i="12"/>
  <c r="K53" i="12" s="1"/>
  <c r="K55" i="12" s="1"/>
  <c r="K57" i="12" s="1"/>
  <c r="L47" i="12" s="1"/>
  <c r="Q47" i="17"/>
  <c r="W47" i="17"/>
  <c r="U47" i="17"/>
  <c r="O20" i="10"/>
  <c r="O22" i="14" s="1"/>
  <c r="N47" i="17"/>
  <c r="N21" i="15" s="1"/>
  <c r="O47" i="17"/>
  <c r="R47" i="17"/>
  <c r="V47" i="17"/>
  <c r="J102" i="12"/>
  <c r="L51" i="12"/>
  <c r="P20" i="10"/>
  <c r="P22" i="14" s="1"/>
  <c r="I31" i="12"/>
  <c r="I39" i="12" s="1"/>
  <c r="I43" i="12" s="1"/>
  <c r="Q20" i="10"/>
  <c r="Q22" i="14" s="1"/>
  <c r="M56" i="17"/>
  <c r="M30" i="15" s="1"/>
  <c r="N30" i="15" s="1"/>
  <c r="V173" i="7"/>
  <c r="W20" i="10"/>
  <c r="W22" i="14" s="1"/>
  <c r="V20" i="10"/>
  <c r="V22" i="14" s="1"/>
  <c r="Q77" i="12"/>
  <c r="N74" i="12"/>
  <c r="N79" i="12" s="1"/>
  <c r="N83" i="12" s="1"/>
  <c r="M14" i="15"/>
  <c r="P81" i="12"/>
  <c r="W56" i="17"/>
  <c r="W59" i="17" s="1"/>
  <c r="V56" i="17"/>
  <c r="V59" i="17" s="1"/>
  <c r="N20" i="10"/>
  <c r="N22" i="14" s="1"/>
  <c r="M20" i="10"/>
  <c r="M22" i="14" s="1"/>
  <c r="O56" i="17"/>
  <c r="O59" i="17" s="1"/>
  <c r="V144" i="7"/>
  <c r="T56" i="17"/>
  <c r="T59" i="17" s="1"/>
  <c r="U56" i="17"/>
  <c r="U59" i="17" s="1"/>
  <c r="R56" i="17"/>
  <c r="R59" i="17" s="1"/>
  <c r="S56" i="17"/>
  <c r="S59" i="17" s="1"/>
  <c r="U20" i="10"/>
  <c r="U22" i="14" s="1"/>
  <c r="T20" i="10"/>
  <c r="T22" i="14" s="1"/>
  <c r="R20" i="10"/>
  <c r="R22" i="14" s="1"/>
  <c r="S20" i="10"/>
  <c r="S22" i="14" s="1"/>
  <c r="X200" i="7"/>
  <c r="U121" i="7"/>
  <c r="V146" i="7"/>
  <c r="X199" i="7"/>
  <c r="T89" i="7"/>
  <c r="T207" i="7" s="1"/>
  <c r="V145" i="7"/>
  <c r="W172" i="7"/>
  <c r="Y187" i="7"/>
  <c r="Y186" i="7"/>
  <c r="Y189" i="7"/>
  <c r="Y191" i="7"/>
  <c r="Y188" i="7"/>
  <c r="Y178" i="7"/>
  <c r="Y193" i="7"/>
  <c r="Y177" i="7"/>
  <c r="Y182" i="7"/>
  <c r="X153" i="7"/>
  <c r="X152" i="7"/>
  <c r="X157" i="7"/>
  <c r="X163" i="7"/>
  <c r="X156" i="7"/>
  <c r="X164" i="7"/>
  <c r="X168" i="7"/>
  <c r="X161" i="7"/>
  <c r="W128" i="7"/>
  <c r="W133" i="7"/>
  <c r="W138" i="7"/>
  <c r="W141" i="7"/>
  <c r="W132" i="7"/>
  <c r="W135" i="7"/>
  <c r="W134" i="7"/>
  <c r="V113" i="7"/>
  <c r="V108" i="7"/>
  <c r="V101" i="7"/>
  <c r="V111" i="7"/>
  <c r="V110" i="7"/>
  <c r="V102" i="7"/>
  <c r="V112" i="7"/>
  <c r="V96" i="7"/>
  <c r="V95" i="7"/>
  <c r="V106" i="7"/>
  <c r="V117" i="7"/>
  <c r="U78" i="7"/>
  <c r="U71" i="7"/>
  <c r="U75" i="7"/>
  <c r="U79" i="7"/>
  <c r="U83" i="7"/>
  <c r="U80" i="7"/>
  <c r="U69" i="7"/>
  <c r="U64" i="7"/>
  <c r="U57" i="7"/>
  <c r="U51" i="7"/>
  <c r="U56" i="7"/>
  <c r="U55" i="7"/>
  <c r="U54" i="7"/>
  <c r="U63" i="7"/>
  <c r="U85" i="7"/>
  <c r="Y184" i="7"/>
  <c r="Y197" i="7"/>
  <c r="Y185" i="7"/>
  <c r="Y194" i="7"/>
  <c r="Y192" i="7"/>
  <c r="Y179" i="7"/>
  <c r="Y183" i="7"/>
  <c r="Y196" i="7"/>
  <c r="Y181" i="7"/>
  <c r="Y180" i="7"/>
  <c r="X158" i="7"/>
  <c r="X154" i="7"/>
  <c r="X159" i="7"/>
  <c r="X151" i="7"/>
  <c r="X167" i="7"/>
  <c r="X165" i="7"/>
  <c r="X160" i="7"/>
  <c r="W139" i="7"/>
  <c r="W131" i="7"/>
  <c r="W137" i="7"/>
  <c r="W127" i="7"/>
  <c r="W130" i="7"/>
  <c r="W129" i="7"/>
  <c r="W126" i="7"/>
  <c r="W142" i="7"/>
  <c r="V104" i="7"/>
  <c r="V115" i="7"/>
  <c r="V116" i="7"/>
  <c r="V99" i="7"/>
  <c r="V94" i="7"/>
  <c r="V105" i="7"/>
  <c r="V103" i="7"/>
  <c r="V100" i="7"/>
  <c r="V98" i="7"/>
  <c r="V97" i="7"/>
  <c r="U66" i="7"/>
  <c r="U74" i="7"/>
  <c r="U76" i="7"/>
  <c r="U81" i="7"/>
  <c r="U84" i="7"/>
  <c r="U82" i="7"/>
  <c r="U65" i="7"/>
  <c r="U72" i="7"/>
  <c r="U50" i="7"/>
  <c r="U53" i="7"/>
  <c r="U59" i="7"/>
  <c r="U52" i="7"/>
  <c r="U60" i="7"/>
  <c r="U61" i="7"/>
  <c r="U58" i="7"/>
  <c r="U62" i="7"/>
  <c r="K37" i="12"/>
  <c r="K41" i="12" s="1"/>
  <c r="W202" i="7"/>
  <c r="W212" i="7" s="1"/>
  <c r="W17" i="7"/>
  <c r="W224" i="7" s="1"/>
  <c r="W229" i="7" s="1"/>
  <c r="T7" i="15"/>
  <c r="T8" i="10"/>
  <c r="V18" i="7"/>
  <c r="U119" i="7"/>
  <c r="W170" i="7"/>
  <c r="T87" i="7"/>
  <c r="T205" i="7" s="1"/>
  <c r="W171" i="7"/>
  <c r="X201" i="7"/>
  <c r="U147" i="7"/>
  <c r="U217" i="7" l="1"/>
  <c r="Y218" i="7"/>
  <c r="Y223" i="7" s="1"/>
  <c r="Y228" i="7" s="1"/>
  <c r="S225" i="7"/>
  <c r="O29" i="38" s="1"/>
  <c r="O32" i="38" s="1"/>
  <c r="S227" i="7"/>
  <c r="S230" i="7" s="1"/>
  <c r="W223" i="7"/>
  <c r="W228" i="7" s="1"/>
  <c r="T220" i="7"/>
  <c r="T222" i="7"/>
  <c r="T7" i="14"/>
  <c r="V68" i="7"/>
  <c r="U7" i="10"/>
  <c r="U8" i="10" s="1"/>
  <c r="U10" i="18"/>
  <c r="U8" i="14"/>
  <c r="Y155" i="7"/>
  <c r="U18" i="10"/>
  <c r="O21" i="15"/>
  <c r="P21" i="15" s="1"/>
  <c r="Q21" i="15" s="1"/>
  <c r="R21" i="15" s="1"/>
  <c r="S21" i="15" s="1"/>
  <c r="T21" i="15" s="1"/>
  <c r="U21" i="15" s="1"/>
  <c r="V21" i="15" s="1"/>
  <c r="W21" i="15" s="1"/>
  <c r="M59" i="17"/>
  <c r="K13" i="15"/>
  <c r="K102" i="12"/>
  <c r="L53" i="12"/>
  <c r="L55" i="12" s="1"/>
  <c r="L57" i="12" s="1"/>
  <c r="M47" i="12" s="1"/>
  <c r="Y201" i="7"/>
  <c r="O30" i="15"/>
  <c r="P30" i="15" s="1"/>
  <c r="R77" i="12"/>
  <c r="O74" i="12"/>
  <c r="O79" i="12" s="1"/>
  <c r="O83" i="12" s="1"/>
  <c r="N14" i="15"/>
  <c r="Q81" i="12"/>
  <c r="W145" i="7"/>
  <c r="X172" i="7"/>
  <c r="V147" i="7"/>
  <c r="W173" i="7"/>
  <c r="W144" i="7"/>
  <c r="W146" i="7"/>
  <c r="L37" i="12"/>
  <c r="L41" i="12" s="1"/>
  <c r="X171" i="7"/>
  <c r="X202" i="7"/>
  <c r="X212" i="7" s="1"/>
  <c r="Y151" i="7"/>
  <c r="Y159" i="7"/>
  <c r="Y164" i="7"/>
  <c r="Y163" i="7"/>
  <c r="Y153" i="7"/>
  <c r="Y157" i="7"/>
  <c r="Y168" i="7"/>
  <c r="Y161" i="7"/>
  <c r="X139" i="7"/>
  <c r="X127" i="7"/>
  <c r="X128" i="7"/>
  <c r="X138" i="7"/>
  <c r="X130" i="7"/>
  <c r="X135" i="7"/>
  <c r="X126" i="7"/>
  <c r="X142" i="7"/>
  <c r="W113" i="7"/>
  <c r="W104" i="7"/>
  <c r="W115" i="7"/>
  <c r="W102" i="7"/>
  <c r="W108" i="7"/>
  <c r="W101" i="7"/>
  <c r="W98" i="7"/>
  <c r="W105" i="7"/>
  <c r="W96" i="7"/>
  <c r="W100" i="7"/>
  <c r="W117" i="7"/>
  <c r="V82" i="7"/>
  <c r="V84" i="7"/>
  <c r="V66" i="7"/>
  <c r="V74" i="7"/>
  <c r="V76" i="7"/>
  <c r="V81" i="7"/>
  <c r="V69" i="7"/>
  <c r="V57" i="7"/>
  <c r="V51" i="7"/>
  <c r="V63" i="7"/>
  <c r="V62" i="7"/>
  <c r="V55" i="7"/>
  <c r="V54" i="7"/>
  <c r="V64" i="7"/>
  <c r="V85" i="7"/>
  <c r="Y156" i="7"/>
  <c r="Y152" i="7"/>
  <c r="Y154" i="7"/>
  <c r="Y165" i="7"/>
  <c r="Y160" i="7"/>
  <c r="X137" i="7"/>
  <c r="X131" i="7"/>
  <c r="X141" i="7"/>
  <c r="X132" i="7"/>
  <c r="X129" i="7"/>
  <c r="W111" i="7"/>
  <c r="W94" i="7"/>
  <c r="W99" i="7"/>
  <c r="W110" i="7"/>
  <c r="W95" i="7"/>
  <c r="W112" i="7"/>
  <c r="W106" i="7"/>
  <c r="V80" i="7"/>
  <c r="V71" i="7"/>
  <c r="V75" i="7"/>
  <c r="V83" i="7"/>
  <c r="V65" i="7"/>
  <c r="V53" i="7"/>
  <c r="V59" i="7"/>
  <c r="V56" i="7"/>
  <c r="V60" i="7"/>
  <c r="V61" i="7"/>
  <c r="V50" i="7"/>
  <c r="Y167" i="7"/>
  <c r="Y158" i="7"/>
  <c r="X133" i="7"/>
  <c r="X134" i="7"/>
  <c r="W116" i="7"/>
  <c r="W103" i="7"/>
  <c r="W97" i="7"/>
  <c r="V78" i="7"/>
  <c r="V79" i="7"/>
  <c r="V72" i="7"/>
  <c r="V52" i="7"/>
  <c r="V58" i="7"/>
  <c r="Y17" i="7"/>
  <c r="Y224" i="7" s="1"/>
  <c r="Y229" i="7" s="1"/>
  <c r="X17" i="7"/>
  <c r="X224" i="7" s="1"/>
  <c r="X229" i="7" s="1"/>
  <c r="V119" i="7"/>
  <c r="J31" i="12"/>
  <c r="J39" i="12" s="1"/>
  <c r="J43" i="12" s="1"/>
  <c r="U7" i="15"/>
  <c r="W18" i="7"/>
  <c r="U87" i="7"/>
  <c r="U205" i="7" s="1"/>
  <c r="V121" i="7"/>
  <c r="X170" i="7"/>
  <c r="U89" i="7"/>
  <c r="U207" i="7" s="1"/>
  <c r="Y199" i="7"/>
  <c r="Y200" i="7"/>
  <c r="V217" i="7" l="1"/>
  <c r="T225" i="7"/>
  <c r="P29" i="38" s="1"/>
  <c r="P32" i="38" s="1"/>
  <c r="T227" i="7"/>
  <c r="T230" i="7" s="1"/>
  <c r="X223" i="7"/>
  <c r="X228" i="7" s="1"/>
  <c r="U220" i="7"/>
  <c r="U222" i="7"/>
  <c r="U7" i="14"/>
  <c r="W68" i="7"/>
  <c r="W7" i="10"/>
  <c r="Y7" i="10" s="1"/>
  <c r="W10" i="18"/>
  <c r="W8" i="14"/>
  <c r="V7" i="10"/>
  <c r="V8" i="10" s="1"/>
  <c r="V8" i="14"/>
  <c r="V10" i="18"/>
  <c r="V18" i="10"/>
  <c r="M37" i="12"/>
  <c r="M41" i="12" s="1"/>
  <c r="L13" i="15"/>
  <c r="L102" i="12"/>
  <c r="S51" i="12"/>
  <c r="W51" i="12"/>
  <c r="P51" i="12"/>
  <c r="V51" i="12"/>
  <c r="R51" i="12"/>
  <c r="N51" i="12"/>
  <c r="O51" i="12"/>
  <c r="T51" i="12"/>
  <c r="U51" i="12"/>
  <c r="Q51" i="12"/>
  <c r="S77" i="12"/>
  <c r="P74" i="12"/>
  <c r="P79" i="12" s="1"/>
  <c r="P83" i="12" s="1"/>
  <c r="O14" i="15"/>
  <c r="R81" i="12"/>
  <c r="X146" i="7"/>
  <c r="X173" i="7"/>
  <c r="W147" i="7"/>
  <c r="Y202" i="7"/>
  <c r="Y212" i="7" s="1"/>
  <c r="V89" i="7"/>
  <c r="V207" i="7" s="1"/>
  <c r="Y172" i="7"/>
  <c r="Y171" i="7"/>
  <c r="M51" i="12"/>
  <c r="M53" i="12" s="1"/>
  <c r="M55" i="12" s="1"/>
  <c r="M57" i="12" s="1"/>
  <c r="M13" i="15" s="1"/>
  <c r="Y133" i="7"/>
  <c r="Y127" i="7"/>
  <c r="Y128" i="7"/>
  <c r="Y137" i="7"/>
  <c r="Y129" i="7"/>
  <c r="Y130" i="7"/>
  <c r="Y134" i="7"/>
  <c r="X113" i="7"/>
  <c r="X102" i="7"/>
  <c r="X99" i="7"/>
  <c r="X94" i="7"/>
  <c r="X108" i="7"/>
  <c r="X101" i="7"/>
  <c r="X98" i="7"/>
  <c r="X97" i="7"/>
  <c r="X103" i="7"/>
  <c r="X100" i="7"/>
  <c r="X117" i="7"/>
  <c r="W66" i="7"/>
  <c r="W74" i="7"/>
  <c r="W76" i="7"/>
  <c r="W84" i="7"/>
  <c r="W82" i="7"/>
  <c r="W81" i="7"/>
  <c r="W69" i="7"/>
  <c r="W64" i="7"/>
  <c r="W57" i="7"/>
  <c r="W51" i="7"/>
  <c r="W63" i="7"/>
  <c r="W62" i="7"/>
  <c r="W55" i="7"/>
  <c r="W54" i="7"/>
  <c r="W85" i="7"/>
  <c r="Y139" i="7"/>
  <c r="Y138" i="7"/>
  <c r="Y141" i="7"/>
  <c r="Y135" i="7"/>
  <c r="Y132" i="7"/>
  <c r="Y142" i="7"/>
  <c r="X111" i="7"/>
  <c r="X110" i="7"/>
  <c r="X115" i="7"/>
  <c r="X112" i="7"/>
  <c r="X106" i="7"/>
  <c r="X96" i="7"/>
  <c r="X95" i="7"/>
  <c r="W71" i="7"/>
  <c r="W75" i="7"/>
  <c r="W79" i="7"/>
  <c r="W78" i="7"/>
  <c r="W83" i="7"/>
  <c r="W65" i="7"/>
  <c r="W50" i="7"/>
  <c r="W53" i="7"/>
  <c r="W59" i="7"/>
  <c r="W52" i="7"/>
  <c r="W60" i="7"/>
  <c r="W61" i="7"/>
  <c r="Y131" i="7"/>
  <c r="Y126" i="7"/>
  <c r="X116" i="7"/>
  <c r="X104" i="7"/>
  <c r="X105" i="7"/>
  <c r="W80" i="7"/>
  <c r="W72" i="7"/>
  <c r="W56" i="7"/>
  <c r="W58" i="7"/>
  <c r="W7" i="15"/>
  <c r="W8" i="10"/>
  <c r="W121" i="7"/>
  <c r="X144" i="7"/>
  <c r="K31" i="12"/>
  <c r="K39" i="12" s="1"/>
  <c r="K43" i="12" s="1"/>
  <c r="V7" i="15"/>
  <c r="X18" i="7"/>
  <c r="V87" i="7"/>
  <c r="V205" i="7" s="1"/>
  <c r="W119" i="7"/>
  <c r="X145" i="7"/>
  <c r="Y170" i="7"/>
  <c r="Q30" i="15"/>
  <c r="U225" i="7" l="1"/>
  <c r="Q29" i="38" s="1"/>
  <c r="Q32" i="38" s="1"/>
  <c r="U227" i="7"/>
  <c r="U230" i="7" s="1"/>
  <c r="W217" i="7"/>
  <c r="V220" i="7"/>
  <c r="V222" i="7"/>
  <c r="V7" i="14"/>
  <c r="X68" i="7"/>
  <c r="W18" i="10"/>
  <c r="Y18" i="10" s="1"/>
  <c r="R37" i="12"/>
  <c r="V37" i="12"/>
  <c r="N37" i="12"/>
  <c r="N41" i="12" s="1"/>
  <c r="T77" i="12"/>
  <c r="Q74" i="12"/>
  <c r="Q79" i="12" s="1"/>
  <c r="Q83" i="12" s="1"/>
  <c r="P14" i="15"/>
  <c r="S81" i="12"/>
  <c r="Q37" i="12"/>
  <c r="U37" i="12"/>
  <c r="N47" i="12"/>
  <c r="N53" i="12" s="1"/>
  <c r="N55" i="12" s="1"/>
  <c r="M102" i="12"/>
  <c r="Y173" i="7"/>
  <c r="Y144" i="7"/>
  <c r="P37" i="12"/>
  <c r="L31" i="12"/>
  <c r="L39" i="12" s="1"/>
  <c r="L43" i="12" s="1"/>
  <c r="T37" i="12"/>
  <c r="W89" i="7"/>
  <c r="W207" i="7" s="1"/>
  <c r="Y145" i="7"/>
  <c r="O37" i="12"/>
  <c r="Y113" i="7"/>
  <c r="Y108" i="7"/>
  <c r="Y116" i="7"/>
  <c r="Y104" i="7"/>
  <c r="Y115" i="7"/>
  <c r="Y102" i="7"/>
  <c r="Y112" i="7"/>
  <c r="Y106" i="7"/>
  <c r="Y97" i="7"/>
  <c r="Y98" i="7"/>
  <c r="Y117" i="7"/>
  <c r="X66" i="7"/>
  <c r="X74" i="7"/>
  <c r="X76" i="7"/>
  <c r="X81" i="7"/>
  <c r="X80" i="7"/>
  <c r="X78" i="7"/>
  <c r="X69" i="7"/>
  <c r="X55" i="7"/>
  <c r="X54" i="7"/>
  <c r="X64" i="7"/>
  <c r="X57" i="7"/>
  <c r="X51" i="7"/>
  <c r="X63" i="7"/>
  <c r="X62" i="7"/>
  <c r="X85" i="7"/>
  <c r="Y99" i="7"/>
  <c r="Y110" i="7"/>
  <c r="Y101" i="7"/>
  <c r="Y111" i="7"/>
  <c r="Y94" i="7"/>
  <c r="Y105" i="7"/>
  <c r="Y96" i="7"/>
  <c r="Y100" i="7"/>
  <c r="Y103" i="7"/>
  <c r="Y95" i="7"/>
  <c r="Y18" i="7"/>
  <c r="X71" i="7"/>
  <c r="X75" i="7"/>
  <c r="X79" i="7"/>
  <c r="X83" i="7"/>
  <c r="X84" i="7"/>
  <c r="X82" i="7"/>
  <c r="X65" i="7"/>
  <c r="X72" i="7"/>
  <c r="X61" i="7"/>
  <c r="X58" i="7"/>
  <c r="X50" i="7"/>
  <c r="X53" i="7"/>
  <c r="X59" i="7"/>
  <c r="X56" i="7"/>
  <c r="X52" i="7"/>
  <c r="X60" i="7"/>
  <c r="S37" i="12"/>
  <c r="W37" i="12"/>
  <c r="X147" i="7"/>
  <c r="W87" i="7"/>
  <c r="W205" i="7" s="1"/>
  <c r="X121" i="7"/>
  <c r="Y146" i="7"/>
  <c r="X119" i="7"/>
  <c r="R30" i="15"/>
  <c r="X217" i="7" l="1"/>
  <c r="V225" i="7"/>
  <c r="R29" i="38" s="1"/>
  <c r="R32" i="38" s="1"/>
  <c r="V227" i="7"/>
  <c r="V230" i="7" s="1"/>
  <c r="W220" i="7"/>
  <c r="W222" i="7"/>
  <c r="W7" i="14"/>
  <c r="Y68" i="7"/>
  <c r="D28" i="14"/>
  <c r="U77" i="12"/>
  <c r="R74" i="12"/>
  <c r="R79" i="12" s="1"/>
  <c r="R83" i="12" s="1"/>
  <c r="Q14" i="15"/>
  <c r="T81" i="12"/>
  <c r="N102" i="12"/>
  <c r="P41" i="12"/>
  <c r="Y121" i="7"/>
  <c r="M31" i="12"/>
  <c r="M39" i="12" s="1"/>
  <c r="M43" i="12" s="1"/>
  <c r="O41" i="12"/>
  <c r="W41" i="12"/>
  <c r="R41" i="12"/>
  <c r="V41" i="12"/>
  <c r="Y78" i="7"/>
  <c r="Y83" i="7"/>
  <c r="Y71" i="7"/>
  <c r="Y75" i="7"/>
  <c r="Y79" i="7"/>
  <c r="Y80" i="7"/>
  <c r="Y69" i="7"/>
  <c r="Y55" i="7"/>
  <c r="Y54" i="7"/>
  <c r="Y64" i="7"/>
  <c r="Y57" i="7"/>
  <c r="Y51" i="7"/>
  <c r="Y63" i="7"/>
  <c r="Y62" i="7"/>
  <c r="Y85" i="7"/>
  <c r="Y81" i="7"/>
  <c r="Y66" i="7"/>
  <c r="Y74" i="7"/>
  <c r="Y76" i="7"/>
  <c r="Y84" i="7"/>
  <c r="Y82" i="7"/>
  <c r="Y65" i="7"/>
  <c r="Y72" i="7"/>
  <c r="Y61" i="7"/>
  <c r="Y58" i="7"/>
  <c r="Y50" i="7"/>
  <c r="Y53" i="7"/>
  <c r="Y59" i="7"/>
  <c r="Y56" i="7"/>
  <c r="Y52" i="7"/>
  <c r="Y60" i="7"/>
  <c r="Y119" i="7"/>
  <c r="X89" i="7"/>
  <c r="X207" i="7" s="1"/>
  <c r="Y147" i="7"/>
  <c r="X87" i="7"/>
  <c r="X205" i="7" s="1"/>
  <c r="S41" i="12"/>
  <c r="Q41" i="12"/>
  <c r="U41" i="12"/>
  <c r="T41" i="12"/>
  <c r="N57" i="12"/>
  <c r="S30" i="15"/>
  <c r="Y217" i="7" l="1"/>
  <c r="W225" i="7"/>
  <c r="S29" i="38" s="1"/>
  <c r="S32" i="38" s="1"/>
  <c r="W227" i="7"/>
  <c r="W230" i="7" s="1"/>
  <c r="X220" i="7"/>
  <c r="X222" i="7"/>
  <c r="D29" i="14"/>
  <c r="V77" i="12"/>
  <c r="V81" i="12" s="1"/>
  <c r="S74" i="12"/>
  <c r="S79" i="12" s="1"/>
  <c r="S83" i="12" s="1"/>
  <c r="R14" i="15"/>
  <c r="U81" i="12"/>
  <c r="Y87" i="7"/>
  <c r="Y205" i="7" s="1"/>
  <c r="N31" i="12"/>
  <c r="N39" i="12" s="1"/>
  <c r="N43" i="12" s="1"/>
  <c r="Y89" i="7"/>
  <c r="Y207" i="7" s="1"/>
  <c r="O47" i="12"/>
  <c r="O53" i="12" s="1"/>
  <c r="N13" i="15"/>
  <c r="T30" i="15"/>
  <c r="X225" i="7" l="1"/>
  <c r="T29" i="38" s="1"/>
  <c r="T32" i="38" s="1"/>
  <c r="X227" i="7"/>
  <c r="X230" i="7" s="1"/>
  <c r="Y220" i="7"/>
  <c r="Y222" i="7"/>
  <c r="W77" i="12"/>
  <c r="W81" i="12" s="1"/>
  <c r="T74" i="12"/>
  <c r="T79" i="12" s="1"/>
  <c r="T83" i="12" s="1"/>
  <c r="S14" i="15"/>
  <c r="O31" i="12"/>
  <c r="O39" i="12" s="1"/>
  <c r="O43" i="12" s="1"/>
  <c r="O55" i="12"/>
  <c r="O102" i="12" s="1"/>
  <c r="U30" i="15"/>
  <c r="Y225" i="7" l="1"/>
  <c r="U29" i="38" s="1"/>
  <c r="U32" i="38" s="1"/>
  <c r="Y227" i="7"/>
  <c r="Y230" i="7" s="1"/>
  <c r="U74" i="12"/>
  <c r="U79" i="12" s="1"/>
  <c r="U83" i="12" s="1"/>
  <c r="T14" i="15"/>
  <c r="P31" i="12"/>
  <c r="P39" i="12" s="1"/>
  <c r="P43" i="12" s="1"/>
  <c r="O57" i="12"/>
  <c r="O13" i="15" s="1"/>
  <c r="V30" i="15"/>
  <c r="W17" i="14"/>
  <c r="L17" i="14"/>
  <c r="D17" i="14"/>
  <c r="K17" i="14"/>
  <c r="S17" i="14"/>
  <c r="P17" i="14"/>
  <c r="T17" i="14"/>
  <c r="T20" i="14" s="1"/>
  <c r="T24" i="14" s="1"/>
  <c r="J17" i="14"/>
  <c r="W20" i="14" l="1"/>
  <c r="W24" i="14" s="1"/>
  <c r="AC16" i="14"/>
  <c r="AC19" i="14" s="1"/>
  <c r="D20" i="14"/>
  <c r="D24" i="14" s="1"/>
  <c r="S20" i="14"/>
  <c r="S24" i="14" s="1"/>
  <c r="S14" i="18" s="1"/>
  <c r="P20" i="14"/>
  <c r="P24" i="14" s="1"/>
  <c r="P26" i="14" s="1"/>
  <c r="P15" i="18" s="1"/>
  <c r="K20" i="14"/>
  <c r="K24" i="14" s="1"/>
  <c r="K26" i="14" s="1"/>
  <c r="K15" i="18" s="1"/>
  <c r="J20" i="14"/>
  <c r="J24" i="14" s="1"/>
  <c r="J14" i="18" s="1"/>
  <c r="L20" i="14"/>
  <c r="L24" i="14" s="1"/>
  <c r="L14" i="18" s="1"/>
  <c r="V74" i="12"/>
  <c r="V79" i="12" s="1"/>
  <c r="V83" i="12" s="1"/>
  <c r="U14" i="15"/>
  <c r="Q31" i="12"/>
  <c r="Q39" i="12" s="1"/>
  <c r="Q43" i="12" s="1"/>
  <c r="P47" i="12"/>
  <c r="P53" i="12" s="1"/>
  <c r="P55" i="12" s="1"/>
  <c r="P102" i="12" s="1"/>
  <c r="T26" i="14"/>
  <c r="T15" i="18" s="1"/>
  <c r="T14" i="18"/>
  <c r="W26" i="14"/>
  <c r="W15" i="18" s="1"/>
  <c r="W14" i="18"/>
  <c r="W30" i="15"/>
  <c r="R17" i="14"/>
  <c r="F17" i="14"/>
  <c r="N17" i="14"/>
  <c r="Q17" i="14"/>
  <c r="G17" i="14"/>
  <c r="H17" i="14"/>
  <c r="U17" i="14"/>
  <c r="U20" i="14" s="1"/>
  <c r="U24" i="14" s="1"/>
  <c r="O17" i="14"/>
  <c r="M17" i="14"/>
  <c r="E17" i="14"/>
  <c r="I17" i="14"/>
  <c r="S26" i="14" l="1"/>
  <c r="S15" i="18" s="1"/>
  <c r="P14" i="18"/>
  <c r="L26" i="14"/>
  <c r="L15" i="18" s="1"/>
  <c r="K14" i="18"/>
  <c r="J26" i="14"/>
  <c r="J15" i="18" s="1"/>
  <c r="F20" i="14"/>
  <c r="F24" i="14" s="1"/>
  <c r="F26" i="14" s="1"/>
  <c r="H20" i="14"/>
  <c r="H24" i="14" s="1"/>
  <c r="H14" i="18" s="1"/>
  <c r="I20" i="14"/>
  <c r="I24" i="14" s="1"/>
  <c r="I26" i="14" s="1"/>
  <c r="I15" i="18" s="1"/>
  <c r="M20" i="14"/>
  <c r="M24" i="14" s="1"/>
  <c r="M14" i="18" s="1"/>
  <c r="G20" i="14"/>
  <c r="G24" i="14" s="1"/>
  <c r="G26" i="14" s="1"/>
  <c r="Q20" i="14"/>
  <c r="Q24" i="14" s="1"/>
  <c r="Q26" i="14" s="1"/>
  <c r="E20" i="14"/>
  <c r="E24" i="14" s="1"/>
  <c r="E26" i="14" s="1"/>
  <c r="E15" i="18" s="1"/>
  <c r="R20" i="14"/>
  <c r="R24" i="14" s="1"/>
  <c r="R14" i="18" s="1"/>
  <c r="O20" i="14"/>
  <c r="O24" i="14" s="1"/>
  <c r="O26" i="14" s="1"/>
  <c r="O15" i="18" s="1"/>
  <c r="N20" i="14"/>
  <c r="N24" i="14" s="1"/>
  <c r="N26" i="14" s="1"/>
  <c r="W74" i="12"/>
  <c r="W79" i="12" s="1"/>
  <c r="W83" i="12" s="1"/>
  <c r="W14" i="15" s="1"/>
  <c r="V14" i="15"/>
  <c r="T50" i="14"/>
  <c r="R31" i="12"/>
  <c r="R39" i="12" s="1"/>
  <c r="R43" i="12" s="1"/>
  <c r="W50" i="14"/>
  <c r="P50" i="14"/>
  <c r="K50" i="14"/>
  <c r="P57" i="12"/>
  <c r="P13" i="15" s="1"/>
  <c r="U26" i="14"/>
  <c r="U15" i="18" s="1"/>
  <c r="U14" i="18"/>
  <c r="D26" i="14"/>
  <c r="D14" i="18"/>
  <c r="V17" i="14"/>
  <c r="V20" i="14" s="1"/>
  <c r="V24" i="14" s="1"/>
  <c r="J50" i="14" l="1"/>
  <c r="S50" i="14"/>
  <c r="H26" i="14"/>
  <c r="L50" i="14"/>
  <c r="F14" i="18"/>
  <c r="G14" i="18"/>
  <c r="N14" i="18"/>
  <c r="Q14" i="18"/>
  <c r="O14" i="18"/>
  <c r="R26" i="14"/>
  <c r="R50" i="14" s="1"/>
  <c r="M26" i="14"/>
  <c r="M15" i="18" s="1"/>
  <c r="E14" i="18"/>
  <c r="I14" i="18"/>
  <c r="E50" i="14"/>
  <c r="S31" i="12"/>
  <c r="S39" i="12" s="1"/>
  <c r="S43" i="12" s="1"/>
  <c r="U50" i="14"/>
  <c r="I50" i="14"/>
  <c r="O50" i="14"/>
  <c r="Q47" i="12"/>
  <c r="Q53" i="12" s="1"/>
  <c r="Q55" i="12" s="1"/>
  <c r="V26" i="14"/>
  <c r="V15" i="18" s="1"/>
  <c r="V14" i="18"/>
  <c r="F50" i="14"/>
  <c r="F15" i="18"/>
  <c r="N50" i="14"/>
  <c r="N15" i="18"/>
  <c r="Q50" i="14"/>
  <c r="Q15" i="18"/>
  <c r="G50" i="14"/>
  <c r="G15" i="18"/>
  <c r="D50" i="14"/>
  <c r="D15" i="18"/>
  <c r="H50" i="14" l="1"/>
  <c r="H15" i="18"/>
  <c r="R15" i="18"/>
  <c r="M50" i="14"/>
  <c r="T31" i="12"/>
  <c r="T39" i="12" s="1"/>
  <c r="T43" i="12" s="1"/>
  <c r="Q102" i="12"/>
  <c r="Q57" i="12"/>
  <c r="R47" i="12" s="1"/>
  <c r="R53" i="12" s="1"/>
  <c r="V50" i="14"/>
  <c r="Q13" i="15" l="1"/>
  <c r="U31" i="12"/>
  <c r="U39" i="12" s="1"/>
  <c r="U43" i="12" s="1"/>
  <c r="R55" i="12"/>
  <c r="R102" i="12" s="1"/>
  <c r="V31" i="12" l="1"/>
  <c r="V39" i="12" s="1"/>
  <c r="V43" i="12" s="1"/>
  <c r="R57" i="12"/>
  <c r="R13" i="15" s="1"/>
  <c r="S47" i="12" l="1"/>
  <c r="S53" i="12" s="1"/>
  <c r="S55" i="12" s="1"/>
  <c r="S102" i="12" s="1"/>
  <c r="W31" i="12"/>
  <c r="W39" i="12" s="1"/>
  <c r="W43" i="12" s="1"/>
  <c r="S57" i="12" l="1"/>
  <c r="S13" i="15" s="1"/>
  <c r="T47" i="12" l="1"/>
  <c r="T53" i="12" s="1"/>
  <c r="T55" i="12" s="1"/>
  <c r="T102" i="12" s="1"/>
  <c r="T57" i="12" l="1"/>
  <c r="U47" i="12" s="1"/>
  <c r="U53" i="12" s="1"/>
  <c r="T13" i="15" l="1"/>
  <c r="U55" i="12"/>
  <c r="U102" i="12" s="1"/>
  <c r="U57" i="12" l="1"/>
  <c r="U13" i="15" s="1"/>
  <c r="V47" i="12" l="1"/>
  <c r="V53" i="12" s="1"/>
  <c r="V55" i="12" s="1"/>
  <c r="V102" i="12" s="1"/>
  <c r="V57" i="12" l="1"/>
  <c r="W47" i="12" s="1"/>
  <c r="W53" i="12" s="1"/>
  <c r="V13" i="15" l="1"/>
  <c r="W55" i="12"/>
  <c r="W102" i="12" s="1"/>
  <c r="W57" i="12" l="1"/>
  <c r="W13" i="15" s="1"/>
  <c r="P31" i="32" l="1"/>
  <c r="E28" i="16" l="1"/>
  <c r="F28" i="16" l="1"/>
  <c r="G28" i="16" l="1"/>
  <c r="H28" i="16" l="1"/>
  <c r="O100" i="31" l="1"/>
  <c r="K100" i="31"/>
  <c r="G100" i="31"/>
  <c r="H100" i="31"/>
  <c r="J100" i="31"/>
  <c r="M100" i="31"/>
  <c r="I100" i="31"/>
  <c r="L100" i="31"/>
  <c r="N100" i="31"/>
  <c r="D30" i="18"/>
  <c r="F31" i="32" l="1"/>
  <c r="N31" i="32"/>
  <c r="L31" i="32"/>
  <c r="M31" i="32"/>
  <c r="J31" i="32"/>
  <c r="H31" i="32"/>
  <c r="K31" i="32"/>
  <c r="I31" i="32"/>
  <c r="G31" i="32"/>
  <c r="O31" i="32"/>
  <c r="I24" i="16"/>
  <c r="I28" i="16" s="1"/>
  <c r="I30" i="18"/>
  <c r="D24" i="16"/>
  <c r="D30" i="16" s="1"/>
  <c r="E30" i="16" s="1"/>
  <c r="D43" i="15"/>
  <c r="G31" i="17" l="1"/>
  <c r="G101" i="12"/>
  <c r="J24" i="16"/>
  <c r="J28" i="16" s="1"/>
  <c r="J30" i="18"/>
  <c r="D31" i="16"/>
  <c r="F31" i="17"/>
  <c r="E43" i="15"/>
  <c r="D48" i="18"/>
  <c r="E31" i="16"/>
  <c r="F30" i="16"/>
  <c r="F34" i="18" l="1"/>
  <c r="G34" i="18"/>
  <c r="E48" i="18"/>
  <c r="F43" i="15"/>
  <c r="F31" i="16"/>
  <c r="G30" i="16"/>
  <c r="F48" i="18" l="1"/>
  <c r="G43" i="15"/>
  <c r="G31" i="16"/>
  <c r="H30" i="16"/>
  <c r="G48" i="18" l="1"/>
  <c r="H43" i="15"/>
  <c r="H31" i="16"/>
  <c r="I30" i="16"/>
  <c r="I43" i="15" l="1"/>
  <c r="H48" i="18"/>
  <c r="I31" i="16"/>
  <c r="J30" i="16"/>
  <c r="I48" i="18" l="1"/>
  <c r="J43" i="15"/>
  <c r="D28" i="16"/>
  <c r="J31" i="16"/>
  <c r="K30" i="16"/>
  <c r="K43" i="15" l="1"/>
  <c r="J48" i="18"/>
  <c r="K31" i="16"/>
  <c r="L30" i="16"/>
  <c r="L43" i="15" l="1"/>
  <c r="K48" i="18"/>
  <c r="L31" i="16"/>
  <c r="M30" i="16"/>
  <c r="L48" i="18" l="1"/>
  <c r="M43" i="15"/>
  <c r="M31" i="16"/>
  <c r="N30" i="16"/>
  <c r="M48" i="18" l="1"/>
  <c r="N43" i="15"/>
  <c r="N31" i="16"/>
  <c r="O30" i="16"/>
  <c r="O43" i="15" l="1"/>
  <c r="N48" i="18"/>
  <c r="O31" i="16"/>
  <c r="P30" i="16"/>
  <c r="P43" i="15" l="1"/>
  <c r="O48" i="18"/>
  <c r="P31" i="16"/>
  <c r="Q30" i="16"/>
  <c r="P48" i="18" l="1"/>
  <c r="Q43" i="15"/>
  <c r="Q31" i="16"/>
  <c r="R30" i="16"/>
  <c r="Q48" i="18" l="1"/>
  <c r="R43" i="15"/>
  <c r="R31" i="16"/>
  <c r="S30" i="16"/>
  <c r="R48" i="18" l="1"/>
  <c r="S43" i="15"/>
  <c r="S31" i="16"/>
  <c r="T30" i="16"/>
  <c r="T43" i="15" l="1"/>
  <c r="S48" i="18"/>
  <c r="T31" i="16"/>
  <c r="U30" i="16"/>
  <c r="T48" i="18" l="1"/>
  <c r="U43" i="15"/>
  <c r="V30" i="16"/>
  <c r="U31" i="16"/>
  <c r="V43" i="15" l="1"/>
  <c r="U48" i="18"/>
  <c r="W30" i="16"/>
  <c r="W31" i="16" s="1"/>
  <c r="V31" i="16"/>
  <c r="V48" i="18" l="1"/>
  <c r="W43" i="15"/>
  <c r="W48" i="18" s="1"/>
  <c r="P100" i="31" l="1"/>
  <c r="G24" i="34"/>
  <c r="J55" i="34" l="1"/>
  <c r="J54" i="34"/>
  <c r="J49" i="34"/>
  <c r="J48" i="34"/>
  <c r="J56" i="34"/>
  <c r="J52" i="34"/>
  <c r="J46" i="34"/>
  <c r="J51" i="34"/>
  <c r="J45" i="34"/>
  <c r="J44" i="34"/>
  <c r="J41" i="34"/>
  <c r="J47" i="34"/>
  <c r="J42" i="34"/>
  <c r="I45" i="34"/>
  <c r="E79" i="34"/>
  <c r="E75" i="34"/>
  <c r="G25" i="34"/>
  <c r="J50" i="34" s="1"/>
  <c r="C5" i="34"/>
  <c r="G26" i="34"/>
  <c r="G27" i="34" s="1"/>
  <c r="E81" i="34" l="1"/>
  <c r="I50" i="34" s="1"/>
  <c r="J61" i="34"/>
  <c r="C9" i="34"/>
  <c r="C11" i="34"/>
  <c r="J64" i="34" s="1"/>
  <c r="I62" i="34"/>
  <c r="J66" i="34" s="1"/>
  <c r="G28" i="34"/>
  <c r="H38" i="34" l="1"/>
  <c r="K38" i="34" s="1"/>
  <c r="H39" i="34"/>
  <c r="K39" i="34" s="1"/>
  <c r="L56" i="34"/>
  <c r="L62" i="34" s="1"/>
  <c r="J68" i="34" s="1"/>
  <c r="J62" i="34"/>
  <c r="J65" i="34" s="1"/>
  <c r="K62" i="34" l="1"/>
  <c r="J67" i="34" s="1"/>
  <c r="J69" i="34" s="1"/>
  <c r="J70" i="34" s="1"/>
  <c r="J71" i="34" s="1"/>
  <c r="J72" i="34" s="1"/>
  <c r="E7" i="24" s="1"/>
  <c r="D25" i="17"/>
  <c r="E70" i="7" l="1"/>
  <c r="V70" i="7" s="1"/>
  <c r="V88" i="7" s="1"/>
  <c r="E109" i="7"/>
  <c r="E109" i="28"/>
  <c r="E70" i="28"/>
  <c r="X70" i="7"/>
  <c r="X88" i="7" s="1"/>
  <c r="T70" i="7"/>
  <c r="T88" i="7" s="1"/>
  <c r="P70" i="7"/>
  <c r="P88" i="7" s="1"/>
  <c r="L70" i="7"/>
  <c r="L88" i="7" s="1"/>
  <c r="H70" i="7"/>
  <c r="H88" i="7" s="1"/>
  <c r="Y70" i="7"/>
  <c r="Y88" i="7" s="1"/>
  <c r="U70" i="7"/>
  <c r="U88" i="7" s="1"/>
  <c r="Q70" i="7"/>
  <c r="Q88" i="7" s="1"/>
  <c r="M70" i="7"/>
  <c r="M88" i="7" s="1"/>
  <c r="I70" i="7"/>
  <c r="I88" i="7" s="1"/>
  <c r="D31" i="18"/>
  <c r="G109" i="28" l="1"/>
  <c r="G120" i="28" s="1"/>
  <c r="G122" i="28" s="1"/>
  <c r="E120" i="28"/>
  <c r="E122" i="28" s="1"/>
  <c r="H109" i="28"/>
  <c r="H120" i="28" s="1"/>
  <c r="H122" i="28" s="1"/>
  <c r="I109" i="28"/>
  <c r="I120" i="28" s="1"/>
  <c r="I122" i="28" s="1"/>
  <c r="J109" i="28"/>
  <c r="J120" i="28" s="1"/>
  <c r="J122" i="28" s="1"/>
  <c r="K109" i="28"/>
  <c r="K120" i="28" s="1"/>
  <c r="K122" i="28" s="1"/>
  <c r="L109" i="28"/>
  <c r="L120" i="28" s="1"/>
  <c r="L122" i="28" s="1"/>
  <c r="M109" i="28"/>
  <c r="M120" i="28" s="1"/>
  <c r="M122" i="28" s="1"/>
  <c r="N109" i="28"/>
  <c r="N120" i="28" s="1"/>
  <c r="N122" i="28" s="1"/>
  <c r="O109" i="28"/>
  <c r="O120" i="28" s="1"/>
  <c r="O122" i="28" s="1"/>
  <c r="P109" i="28"/>
  <c r="P120" i="28" s="1"/>
  <c r="P122" i="28" s="1"/>
  <c r="Q109" i="28"/>
  <c r="Q120" i="28" s="1"/>
  <c r="Q122" i="28" s="1"/>
  <c r="R109" i="28"/>
  <c r="R120" i="28" s="1"/>
  <c r="R122" i="28" s="1"/>
  <c r="S109" i="28"/>
  <c r="S120" i="28" s="1"/>
  <c r="S122" i="28" s="1"/>
  <c r="T109" i="28"/>
  <c r="T120" i="28" s="1"/>
  <c r="T122" i="28" s="1"/>
  <c r="U109" i="28"/>
  <c r="U120" i="28" s="1"/>
  <c r="U122" i="28" s="1"/>
  <c r="V109" i="28"/>
  <c r="V120" i="28" s="1"/>
  <c r="V122" i="28" s="1"/>
  <c r="W109" i="28"/>
  <c r="W120" i="28" s="1"/>
  <c r="W122" i="28" s="1"/>
  <c r="X109" i="28"/>
  <c r="X120" i="28" s="1"/>
  <c r="X122" i="28" s="1"/>
  <c r="Y109" i="28"/>
  <c r="Y120" i="28" s="1"/>
  <c r="Y122" i="28" s="1"/>
  <c r="E88" i="7"/>
  <c r="E90" i="7" s="1"/>
  <c r="G70" i="7"/>
  <c r="G88" i="7" s="1"/>
  <c r="K70" i="7"/>
  <c r="K88" i="7" s="1"/>
  <c r="K90" i="7" s="1"/>
  <c r="O70" i="7"/>
  <c r="O88" i="7" s="1"/>
  <c r="O90" i="7" s="1"/>
  <c r="S70" i="7"/>
  <c r="S88" i="7" s="1"/>
  <c r="W70" i="7"/>
  <c r="W88" i="7" s="1"/>
  <c r="F70" i="7"/>
  <c r="F88" i="7" s="1"/>
  <c r="F206" i="7" s="1"/>
  <c r="J70" i="7"/>
  <c r="J88" i="7" s="1"/>
  <c r="N70" i="7"/>
  <c r="N88" i="7" s="1"/>
  <c r="R70" i="7"/>
  <c r="R88" i="7" s="1"/>
  <c r="E88" i="28"/>
  <c r="E90" i="28" s="1"/>
  <c r="F70" i="28"/>
  <c r="F88" i="28" s="1"/>
  <c r="G70" i="28"/>
  <c r="G88" i="28" s="1"/>
  <c r="H70" i="28"/>
  <c r="H88" i="28" s="1"/>
  <c r="I70" i="28"/>
  <c r="I88" i="28" s="1"/>
  <c r="J70" i="28"/>
  <c r="J88" i="28" s="1"/>
  <c r="K70" i="28"/>
  <c r="K88" i="28" s="1"/>
  <c r="L70" i="28"/>
  <c r="L88" i="28" s="1"/>
  <c r="M70" i="28"/>
  <c r="M88" i="28" s="1"/>
  <c r="N70" i="28"/>
  <c r="N88" i="28" s="1"/>
  <c r="O70" i="28"/>
  <c r="O88" i="28" s="1"/>
  <c r="P70" i="28"/>
  <c r="P88" i="28" s="1"/>
  <c r="Q70" i="28"/>
  <c r="Q88" i="28" s="1"/>
  <c r="R70" i="28"/>
  <c r="R88" i="28" s="1"/>
  <c r="S70" i="28"/>
  <c r="S88" i="28" s="1"/>
  <c r="T70" i="28"/>
  <c r="T88" i="28" s="1"/>
  <c r="U70" i="28"/>
  <c r="U88" i="28" s="1"/>
  <c r="V70" i="28"/>
  <c r="V88" i="28" s="1"/>
  <c r="W70" i="28"/>
  <c r="W88" i="28" s="1"/>
  <c r="X70" i="28"/>
  <c r="X88" i="28" s="1"/>
  <c r="Y70" i="28"/>
  <c r="Y88" i="28" s="1"/>
  <c r="X109" i="7"/>
  <c r="X120" i="7" s="1"/>
  <c r="X122" i="7" s="1"/>
  <c r="V109" i="7"/>
  <c r="V120" i="7" s="1"/>
  <c r="V122" i="7" s="1"/>
  <c r="T109" i="7"/>
  <c r="T120" i="7" s="1"/>
  <c r="T122" i="7" s="1"/>
  <c r="R109" i="7"/>
  <c r="R120" i="7" s="1"/>
  <c r="R122" i="7" s="1"/>
  <c r="P109" i="7"/>
  <c r="P120" i="7" s="1"/>
  <c r="P122" i="7" s="1"/>
  <c r="N109" i="7"/>
  <c r="N120" i="7" s="1"/>
  <c r="N122" i="7" s="1"/>
  <c r="L109" i="7"/>
  <c r="L120" i="7" s="1"/>
  <c r="L122" i="7" s="1"/>
  <c r="J109" i="7"/>
  <c r="J120" i="7" s="1"/>
  <c r="J122" i="7" s="1"/>
  <c r="H109" i="7"/>
  <c r="H120" i="7" s="1"/>
  <c r="H122" i="7" s="1"/>
  <c r="Y109" i="7"/>
  <c r="Y120" i="7" s="1"/>
  <c r="Y122" i="7" s="1"/>
  <c r="W109" i="7"/>
  <c r="W120" i="7" s="1"/>
  <c r="W122" i="7" s="1"/>
  <c r="U109" i="7"/>
  <c r="U120" i="7" s="1"/>
  <c r="U122" i="7" s="1"/>
  <c r="S109" i="7"/>
  <c r="S120" i="7" s="1"/>
  <c r="S122" i="7" s="1"/>
  <c r="Q109" i="7"/>
  <c r="Q120" i="7" s="1"/>
  <c r="Q122" i="7" s="1"/>
  <c r="O109" i="7"/>
  <c r="O120" i="7" s="1"/>
  <c r="O122" i="7" s="1"/>
  <c r="M109" i="7"/>
  <c r="M120" i="7" s="1"/>
  <c r="M122" i="7" s="1"/>
  <c r="K109" i="7"/>
  <c r="K120" i="7" s="1"/>
  <c r="K122" i="7" s="1"/>
  <c r="I109" i="7"/>
  <c r="I120" i="7" s="1"/>
  <c r="I122" i="7" s="1"/>
  <c r="G109" i="7"/>
  <c r="G120" i="7" s="1"/>
  <c r="G122" i="7" s="1"/>
  <c r="E120" i="7"/>
  <c r="E122" i="7" s="1"/>
  <c r="G90" i="7"/>
  <c r="S90" i="7"/>
  <c r="W90" i="7"/>
  <c r="F90" i="7"/>
  <c r="J90" i="7"/>
  <c r="N90" i="7"/>
  <c r="R90" i="7"/>
  <c r="V90" i="7"/>
  <c r="I90" i="7"/>
  <c r="I211" i="7" s="1"/>
  <c r="M90" i="7"/>
  <c r="Q90" i="7"/>
  <c r="U90" i="7"/>
  <c r="Y90" i="7"/>
  <c r="H206" i="7"/>
  <c r="H90" i="7"/>
  <c r="H211" i="7" s="1"/>
  <c r="L206" i="7"/>
  <c r="L90" i="7"/>
  <c r="L211" i="7" s="1"/>
  <c r="P90" i="7"/>
  <c r="T90" i="7"/>
  <c r="X206" i="7"/>
  <c r="X90" i="7"/>
  <c r="X211" i="7" s="1"/>
  <c r="G211" i="7" l="1"/>
  <c r="T206" i="7"/>
  <c r="T211" i="7"/>
  <c r="K211" i="7"/>
  <c r="U211" i="7"/>
  <c r="S17" i="10" s="1"/>
  <c r="P211" i="7"/>
  <c r="N17" i="10" s="1"/>
  <c r="N18" i="17" s="1"/>
  <c r="N28" i="18" s="1"/>
  <c r="P206" i="7"/>
  <c r="P208" i="7" s="1"/>
  <c r="S211" i="7"/>
  <c r="Q17" i="10" s="1"/>
  <c r="O211" i="7"/>
  <c r="M17" i="10" s="1"/>
  <c r="N211" i="7"/>
  <c r="L17" i="10" s="1"/>
  <c r="Y211" i="7"/>
  <c r="W17" i="10" s="1"/>
  <c r="J211" i="7"/>
  <c r="H17" i="10" s="1"/>
  <c r="R211" i="7"/>
  <c r="P17" i="10" s="1"/>
  <c r="F211" i="7"/>
  <c r="D17" i="10" s="1"/>
  <c r="Q211" i="7"/>
  <c r="O17" i="10" s="1"/>
  <c r="W211" i="7"/>
  <c r="U17" i="10" s="1"/>
  <c r="M211" i="7"/>
  <c r="K17" i="10" s="1"/>
  <c r="V211" i="7"/>
  <c r="T17" i="10" s="1"/>
  <c r="G17" i="10"/>
  <c r="G18" i="17" s="1"/>
  <c r="G28" i="18" s="1"/>
  <c r="I17" i="10"/>
  <c r="I18" i="17" s="1"/>
  <c r="I28" i="18" s="1"/>
  <c r="G206" i="7"/>
  <c r="V17" i="10"/>
  <c r="V89" i="12" s="1"/>
  <c r="V91" i="12" s="1"/>
  <c r="R17" i="10"/>
  <c r="R89" i="12" s="1"/>
  <c r="R91" i="12" s="1"/>
  <c r="J17" i="10"/>
  <c r="J89" i="12" s="1"/>
  <c r="J91" i="12" s="1"/>
  <c r="F17" i="10"/>
  <c r="F89" i="12" s="1"/>
  <c r="F91" i="12" s="1"/>
  <c r="W206" i="7"/>
  <c r="W208" i="7" s="1"/>
  <c r="O206" i="7"/>
  <c r="O208" i="7" s="1"/>
  <c r="E17" i="10"/>
  <c r="E18" i="17" s="1"/>
  <c r="E28" i="18" s="1"/>
  <c r="S206" i="7"/>
  <c r="S208" i="7" s="1"/>
  <c r="K206" i="7"/>
  <c r="K208" i="7" s="1"/>
  <c r="Y206" i="28"/>
  <c r="Y90" i="28"/>
  <c r="Y211" i="28" s="1"/>
  <c r="W17" i="29" s="1"/>
  <c r="W206" i="28"/>
  <c r="W90" i="28"/>
  <c r="W211" i="28" s="1"/>
  <c r="U17" i="29" s="1"/>
  <c r="U206" i="28"/>
  <c r="U90" i="28"/>
  <c r="U211" i="28" s="1"/>
  <c r="S17" i="29" s="1"/>
  <c r="S206" i="28"/>
  <c r="S90" i="28"/>
  <c r="S211" i="28" s="1"/>
  <c r="Q17" i="29" s="1"/>
  <c r="Q206" i="28"/>
  <c r="Q90" i="28"/>
  <c r="Q211" i="28" s="1"/>
  <c r="O17" i="29" s="1"/>
  <c r="O206" i="28"/>
  <c r="O90" i="28"/>
  <c r="O211" i="28" s="1"/>
  <c r="M17" i="29" s="1"/>
  <c r="M206" i="28"/>
  <c r="M90" i="28"/>
  <c r="M211" i="28" s="1"/>
  <c r="K17" i="29" s="1"/>
  <c r="K206" i="28"/>
  <c r="K90" i="28"/>
  <c r="K211" i="28" s="1"/>
  <c r="I17" i="29" s="1"/>
  <c r="I206" i="28"/>
  <c r="I90" i="28"/>
  <c r="I211" i="28" s="1"/>
  <c r="G17" i="29" s="1"/>
  <c r="G206" i="28"/>
  <c r="G90" i="28"/>
  <c r="G211" i="28" s="1"/>
  <c r="E17" i="29" s="1"/>
  <c r="Y206" i="7"/>
  <c r="Y208" i="7" s="1"/>
  <c r="U206" i="7"/>
  <c r="U208" i="7" s="1"/>
  <c r="Q206" i="7"/>
  <c r="Q208" i="7" s="1"/>
  <c r="M206" i="7"/>
  <c r="K39" i="10" s="1"/>
  <c r="I206" i="7"/>
  <c r="G39" i="10" s="1"/>
  <c r="V206" i="7"/>
  <c r="T39" i="10" s="1"/>
  <c r="R206" i="7"/>
  <c r="P39" i="10" s="1"/>
  <c r="N206" i="7"/>
  <c r="N208" i="7" s="1"/>
  <c r="J206" i="7"/>
  <c r="H39" i="10" s="1"/>
  <c r="X206" i="28"/>
  <c r="X90" i="28"/>
  <c r="X211" i="28" s="1"/>
  <c r="V17" i="29" s="1"/>
  <c r="V206" i="28"/>
  <c r="V90" i="28"/>
  <c r="V211" i="28" s="1"/>
  <c r="T17" i="29" s="1"/>
  <c r="T206" i="28"/>
  <c r="T90" i="28"/>
  <c r="T211" i="28" s="1"/>
  <c r="R17" i="29" s="1"/>
  <c r="R206" i="28"/>
  <c r="R90" i="28"/>
  <c r="R211" i="28" s="1"/>
  <c r="P17" i="29" s="1"/>
  <c r="P206" i="28"/>
  <c r="P90" i="28"/>
  <c r="P211" i="28" s="1"/>
  <c r="N17" i="29" s="1"/>
  <c r="N206" i="28"/>
  <c r="N90" i="28"/>
  <c r="N211" i="28" s="1"/>
  <c r="L17" i="29" s="1"/>
  <c r="L206" i="28"/>
  <c r="L90" i="28"/>
  <c r="L211" i="28" s="1"/>
  <c r="J17" i="29" s="1"/>
  <c r="J206" i="28"/>
  <c r="J90" i="28"/>
  <c r="J211" i="28" s="1"/>
  <c r="H17" i="29" s="1"/>
  <c r="H206" i="28"/>
  <c r="H90" i="28"/>
  <c r="H211" i="28" s="1"/>
  <c r="F17" i="29" s="1"/>
  <c r="F206" i="28"/>
  <c r="F90" i="28"/>
  <c r="F211" i="28" s="1"/>
  <c r="D17" i="29" s="1"/>
  <c r="X208" i="7"/>
  <c r="V39" i="10"/>
  <c r="T208" i="7"/>
  <c r="R39" i="10"/>
  <c r="L208" i="7"/>
  <c r="J39" i="10"/>
  <c r="F39" i="10"/>
  <c r="H208" i="7"/>
  <c r="D39" i="10"/>
  <c r="F208" i="7"/>
  <c r="I39" i="10"/>
  <c r="G208" i="7"/>
  <c r="E39" i="10"/>
  <c r="D32" i="17"/>
  <c r="D36" i="16"/>
  <c r="D38" i="16" s="1"/>
  <c r="E24" i="10" l="1"/>
  <c r="E28" i="14" s="1"/>
  <c r="I89" i="12"/>
  <c r="I91" i="12" s="1"/>
  <c r="E9" i="24"/>
  <c r="R208" i="7"/>
  <c r="N39" i="10"/>
  <c r="F18" i="17"/>
  <c r="F28" i="18" s="1"/>
  <c r="S18" i="17"/>
  <c r="S28" i="18" s="1"/>
  <c r="S89" i="12"/>
  <c r="S91" i="12" s="1"/>
  <c r="V208" i="7"/>
  <c r="M208" i="7"/>
  <c r="U39" i="10"/>
  <c r="V21" i="10" s="1"/>
  <c r="L39" i="10"/>
  <c r="L21" i="10" s="1"/>
  <c r="G89" i="12"/>
  <c r="G91" i="12" s="1"/>
  <c r="Q18" i="17"/>
  <c r="Q28" i="18" s="1"/>
  <c r="Q89" i="12"/>
  <c r="Q91" i="12" s="1"/>
  <c r="I208" i="7"/>
  <c r="J208" i="7"/>
  <c r="M39" i="10"/>
  <c r="W39" i="10"/>
  <c r="W21" i="10" s="1"/>
  <c r="Q39" i="10"/>
  <c r="Q48" i="17" s="1"/>
  <c r="O39" i="10"/>
  <c r="U18" i="17"/>
  <c r="U28" i="18" s="1"/>
  <c r="U89" i="12"/>
  <c r="U91" i="12" s="1"/>
  <c r="O89" i="12"/>
  <c r="O91" i="12" s="1"/>
  <c r="O18" i="17"/>
  <c r="O28" i="18" s="1"/>
  <c r="D18" i="17"/>
  <c r="D28" i="18" s="1"/>
  <c r="D89" i="12"/>
  <c r="D91" i="12" s="1"/>
  <c r="D95" i="12" s="1"/>
  <c r="D103" i="12" s="1"/>
  <c r="D30" i="14" s="1"/>
  <c r="D40" i="10"/>
  <c r="P89" i="12"/>
  <c r="P91" i="12" s="1"/>
  <c r="P18" i="17"/>
  <c r="P28" i="18" s="1"/>
  <c r="H18" i="17"/>
  <c r="H28" i="18" s="1"/>
  <c r="H89" i="12"/>
  <c r="H91" i="12" s="1"/>
  <c r="W18" i="17"/>
  <c r="W28" i="18" s="1"/>
  <c r="W89" i="12"/>
  <c r="W91" i="12" s="1"/>
  <c r="T18" i="17"/>
  <c r="T28" i="18" s="1"/>
  <c r="T89" i="12"/>
  <c r="T91" i="12" s="1"/>
  <c r="L18" i="17"/>
  <c r="L28" i="18" s="1"/>
  <c r="L89" i="12"/>
  <c r="L91" i="12" s="1"/>
  <c r="K89" i="12"/>
  <c r="K91" i="12" s="1"/>
  <c r="K18" i="17"/>
  <c r="K28" i="18" s="1"/>
  <c r="M89" i="12"/>
  <c r="M91" i="12" s="1"/>
  <c r="M18" i="17"/>
  <c r="M28" i="18" s="1"/>
  <c r="V18" i="17"/>
  <c r="V28" i="18" s="1"/>
  <c r="N89" i="12"/>
  <c r="N91" i="12" s="1"/>
  <c r="S39" i="10"/>
  <c r="E23" i="10"/>
  <c r="E29" i="14" s="1"/>
  <c r="E89" i="12"/>
  <c r="E91" i="12" s="1"/>
  <c r="Y17" i="10"/>
  <c r="J18" i="17"/>
  <c r="J28" i="18" s="1"/>
  <c r="R18" i="17"/>
  <c r="R28" i="18" s="1"/>
  <c r="D88" i="31"/>
  <c r="D90" i="31" s="1"/>
  <c r="D18" i="32"/>
  <c r="D39" i="29"/>
  <c r="F18" i="32"/>
  <c r="F88" i="31"/>
  <c r="F90" i="31" s="1"/>
  <c r="H18" i="32"/>
  <c r="H88" i="31"/>
  <c r="H90" i="31" s="1"/>
  <c r="J18" i="32"/>
  <c r="J88" i="31"/>
  <c r="J90" i="31" s="1"/>
  <c r="L18" i="32"/>
  <c r="L88" i="31"/>
  <c r="L90" i="31" s="1"/>
  <c r="N18" i="32"/>
  <c r="N88" i="31"/>
  <c r="N90" i="31" s="1"/>
  <c r="P18" i="32"/>
  <c r="P88" i="31"/>
  <c r="P90" i="31" s="1"/>
  <c r="R18" i="32"/>
  <c r="R88" i="31"/>
  <c r="R90" i="31" s="1"/>
  <c r="T18" i="32"/>
  <c r="T88" i="31"/>
  <c r="T90" i="31" s="1"/>
  <c r="V18" i="32"/>
  <c r="V88" i="31"/>
  <c r="V90" i="31" s="1"/>
  <c r="G208" i="28"/>
  <c r="E38" i="29"/>
  <c r="I208" i="28"/>
  <c r="G38" i="29"/>
  <c r="K208" i="28"/>
  <c r="I38" i="29"/>
  <c r="M208" i="28"/>
  <c r="K38" i="29"/>
  <c r="O208" i="28"/>
  <c r="M38" i="29"/>
  <c r="Q208" i="28"/>
  <c r="O38" i="29"/>
  <c r="S208" i="28"/>
  <c r="Q38" i="29"/>
  <c r="U208" i="28"/>
  <c r="S38" i="29"/>
  <c r="W208" i="28"/>
  <c r="U38" i="29"/>
  <c r="Y208" i="28"/>
  <c r="W38" i="29"/>
  <c r="F208" i="28"/>
  <c r="D38" i="29"/>
  <c r="H208" i="28"/>
  <c r="F38" i="29"/>
  <c r="J208" i="28"/>
  <c r="H38" i="29"/>
  <c r="L208" i="28"/>
  <c r="J38" i="29"/>
  <c r="N208" i="28"/>
  <c r="L38" i="29"/>
  <c r="P208" i="28"/>
  <c r="N38" i="29"/>
  <c r="R208" i="28"/>
  <c r="P38" i="29"/>
  <c r="T208" i="28"/>
  <c r="R38" i="29"/>
  <c r="V208" i="28"/>
  <c r="T38" i="29"/>
  <c r="X208" i="28"/>
  <c r="V38" i="29"/>
  <c r="E88" i="31"/>
  <c r="E90" i="31" s="1"/>
  <c r="E18" i="32"/>
  <c r="E23" i="29"/>
  <c r="E29" i="30" s="1"/>
  <c r="E24" i="29"/>
  <c r="E28" i="30" s="1"/>
  <c r="G18" i="32"/>
  <c r="G88" i="31"/>
  <c r="G90" i="31" s="1"/>
  <c r="I18" i="32"/>
  <c r="I88" i="31"/>
  <c r="I90" i="31" s="1"/>
  <c r="K88" i="31"/>
  <c r="K90" i="31" s="1"/>
  <c r="K18" i="32"/>
  <c r="M88" i="31"/>
  <c r="M90" i="31" s="1"/>
  <c r="M18" i="32"/>
  <c r="O18" i="32"/>
  <c r="O88" i="31"/>
  <c r="O90" i="31" s="1"/>
  <c r="Q88" i="31"/>
  <c r="Q90" i="31" s="1"/>
  <c r="Q18" i="32"/>
  <c r="S88" i="31"/>
  <c r="S90" i="31" s="1"/>
  <c r="S18" i="32"/>
  <c r="U18" i="32"/>
  <c r="U88" i="31"/>
  <c r="U90" i="31" s="1"/>
  <c r="W18" i="32"/>
  <c r="W88" i="31"/>
  <c r="W90" i="31" s="1"/>
  <c r="E48" i="17"/>
  <c r="E21" i="10"/>
  <c r="G48" i="17"/>
  <c r="G21" i="10"/>
  <c r="K48" i="17"/>
  <c r="K21" i="10"/>
  <c r="O48" i="17"/>
  <c r="O21" i="10"/>
  <c r="S48" i="17"/>
  <c r="S21" i="10"/>
  <c r="W48" i="17"/>
  <c r="J48" i="17"/>
  <c r="J21" i="10"/>
  <c r="I48" i="17"/>
  <c r="I21" i="10"/>
  <c r="H48" i="17"/>
  <c r="H21" i="10"/>
  <c r="P48" i="17"/>
  <c r="P21" i="10"/>
  <c r="T48" i="17"/>
  <c r="T21" i="10"/>
  <c r="D50" i="17"/>
  <c r="D23" i="15" s="1"/>
  <c r="D22" i="10"/>
  <c r="D48" i="17"/>
  <c r="D21" i="10"/>
  <c r="F48" i="17"/>
  <c r="F21" i="10"/>
  <c r="E32" i="17"/>
  <c r="E36" i="16"/>
  <c r="E38" i="16" s="1"/>
  <c r="D33" i="18"/>
  <c r="U48" i="17" l="1"/>
  <c r="V48" i="17"/>
  <c r="U21" i="10"/>
  <c r="L48" i="17"/>
  <c r="M21" i="10"/>
  <c r="N21" i="10"/>
  <c r="N48" i="17"/>
  <c r="M48" i="17"/>
  <c r="Q21" i="10"/>
  <c r="R48" i="17"/>
  <c r="R21" i="10"/>
  <c r="K95" i="12"/>
  <c r="K103" i="12" s="1"/>
  <c r="K30" i="14" s="1"/>
  <c r="K10" i="17" s="1"/>
  <c r="K25" i="18" s="1"/>
  <c r="D93" i="12"/>
  <c r="S95" i="12"/>
  <c r="S103" i="12" s="1"/>
  <c r="S30" i="14" s="1"/>
  <c r="S10" i="17" s="1"/>
  <c r="S25" i="18" s="1"/>
  <c r="O95" i="12"/>
  <c r="O103" i="12" s="1"/>
  <c r="O30" i="14" s="1"/>
  <c r="O10" i="17" s="1"/>
  <c r="O25" i="18" s="1"/>
  <c r="P95" i="12"/>
  <c r="P103" i="12" s="1"/>
  <c r="P30" i="14" s="1"/>
  <c r="P10" i="17" s="1"/>
  <c r="P25" i="18" s="1"/>
  <c r="U95" i="12"/>
  <c r="U103" i="12" s="1"/>
  <c r="U30" i="14" s="1"/>
  <c r="U10" i="17" s="1"/>
  <c r="U25" i="18" s="1"/>
  <c r="Q95" i="12"/>
  <c r="Q103" i="12" s="1"/>
  <c r="Q30" i="14" s="1"/>
  <c r="Q10" i="17" s="1"/>
  <c r="Q25" i="18" s="1"/>
  <c r="J95" i="12"/>
  <c r="J103" i="12" s="1"/>
  <c r="J30" i="14" s="1"/>
  <c r="J10" i="17" s="1"/>
  <c r="J25" i="18" s="1"/>
  <c r="I95" i="12"/>
  <c r="I103" i="12" s="1"/>
  <c r="I30" i="14" s="1"/>
  <c r="I10" i="17" s="1"/>
  <c r="I25" i="18" s="1"/>
  <c r="R95" i="12"/>
  <c r="R103" i="12" s="1"/>
  <c r="R30" i="14" s="1"/>
  <c r="R10" i="17" s="1"/>
  <c r="R25" i="18" s="1"/>
  <c r="G95" i="12"/>
  <c r="G103" i="12" s="1"/>
  <c r="G30" i="14" s="1"/>
  <c r="G10" i="17" s="1"/>
  <c r="G25" i="18" s="1"/>
  <c r="T95" i="12"/>
  <c r="T103" i="12" s="1"/>
  <c r="T30" i="14" s="1"/>
  <c r="T10" i="17" s="1"/>
  <c r="T25" i="18" s="1"/>
  <c r="E40" i="10"/>
  <c r="E22" i="10" s="1"/>
  <c r="E26" i="10" s="1"/>
  <c r="E28" i="10" s="1"/>
  <c r="N95" i="12"/>
  <c r="N103" i="12" s="1"/>
  <c r="N30" i="14" s="1"/>
  <c r="N10" i="17" s="1"/>
  <c r="N25" i="18" s="1"/>
  <c r="M95" i="12"/>
  <c r="M103" i="12" s="1"/>
  <c r="M30" i="14" s="1"/>
  <c r="M10" i="17" s="1"/>
  <c r="M25" i="18" s="1"/>
  <c r="W95" i="12"/>
  <c r="W103" i="12" s="1"/>
  <c r="W30" i="14" s="1"/>
  <c r="W10" i="17" s="1"/>
  <c r="W25" i="18" s="1"/>
  <c r="E95" i="12"/>
  <c r="E103" i="12" s="1"/>
  <c r="E30" i="14" s="1"/>
  <c r="E10" i="17" s="1"/>
  <c r="E25" i="18" s="1"/>
  <c r="L95" i="12"/>
  <c r="L103" i="12" s="1"/>
  <c r="L30" i="14" s="1"/>
  <c r="L10" i="17" s="1"/>
  <c r="L25" i="18" s="1"/>
  <c r="H95" i="12"/>
  <c r="H103" i="12" s="1"/>
  <c r="H30" i="14" s="1"/>
  <c r="H10" i="17" s="1"/>
  <c r="H25" i="18" s="1"/>
  <c r="F95" i="12"/>
  <c r="F103" i="12" s="1"/>
  <c r="F30" i="14" s="1"/>
  <c r="F10" i="17" s="1"/>
  <c r="F25" i="18" s="1"/>
  <c r="V95" i="12"/>
  <c r="V103" i="12" s="1"/>
  <c r="V30" i="14" s="1"/>
  <c r="V10" i="17" s="1"/>
  <c r="V25" i="18" s="1"/>
  <c r="V21" i="29"/>
  <c r="V53" i="32"/>
  <c r="T21" i="29"/>
  <c r="T53" i="32"/>
  <c r="R21" i="29"/>
  <c r="R53" i="32"/>
  <c r="P21" i="29"/>
  <c r="P53" i="32"/>
  <c r="N21" i="29"/>
  <c r="N53" i="32"/>
  <c r="L53" i="32"/>
  <c r="L21" i="29"/>
  <c r="J53" i="32"/>
  <c r="J21" i="29"/>
  <c r="H53" i="32"/>
  <c r="H21" i="29"/>
  <c r="F53" i="32"/>
  <c r="F21" i="29"/>
  <c r="E21" i="29"/>
  <c r="D21" i="29"/>
  <c r="D53" i="32"/>
  <c r="W53" i="32"/>
  <c r="W21" i="29"/>
  <c r="U53" i="32"/>
  <c r="U21" i="29"/>
  <c r="S53" i="32"/>
  <c r="S21" i="29"/>
  <c r="Q53" i="32"/>
  <c r="Q21" i="29"/>
  <c r="O53" i="32"/>
  <c r="O21" i="29"/>
  <c r="M21" i="29"/>
  <c r="M53" i="32"/>
  <c r="K53" i="32"/>
  <c r="K21" i="29"/>
  <c r="I21" i="29"/>
  <c r="I53" i="32"/>
  <c r="G53" i="32"/>
  <c r="G21" i="29"/>
  <c r="E53" i="32"/>
  <c r="D22" i="29"/>
  <c r="D55" i="32"/>
  <c r="D23" i="33" s="1"/>
  <c r="D92" i="31"/>
  <c r="H94" i="31"/>
  <c r="H102" i="31" s="1"/>
  <c r="H30" i="30" s="1"/>
  <c r="H10" i="32" s="1"/>
  <c r="V94" i="31"/>
  <c r="V102" i="31" s="1"/>
  <c r="V30" i="30" s="1"/>
  <c r="V10" i="32" s="1"/>
  <c r="E94" i="31"/>
  <c r="E102" i="31" s="1"/>
  <c r="E30" i="30" s="1"/>
  <c r="E10" i="32" s="1"/>
  <c r="M94" i="31"/>
  <c r="M102" i="31" s="1"/>
  <c r="M30" i="30" s="1"/>
  <c r="M10" i="32" s="1"/>
  <c r="U94" i="31"/>
  <c r="U102" i="31" s="1"/>
  <c r="U30" i="30" s="1"/>
  <c r="U10" i="32" s="1"/>
  <c r="L94" i="31"/>
  <c r="L102" i="31" s="1"/>
  <c r="L30" i="30" s="1"/>
  <c r="L10" i="32" s="1"/>
  <c r="N94" i="31"/>
  <c r="N102" i="31" s="1"/>
  <c r="N30" i="30" s="1"/>
  <c r="N10" i="32" s="1"/>
  <c r="R94" i="31"/>
  <c r="R102" i="31" s="1"/>
  <c r="R30" i="30" s="1"/>
  <c r="R10" i="32" s="1"/>
  <c r="K94" i="31"/>
  <c r="K102" i="31" s="1"/>
  <c r="K30" i="30" s="1"/>
  <c r="K10" i="32" s="1"/>
  <c r="S94" i="31"/>
  <c r="S102" i="31" s="1"/>
  <c r="S30" i="30" s="1"/>
  <c r="S10" i="32" s="1"/>
  <c r="P94" i="31"/>
  <c r="P102" i="31" s="1"/>
  <c r="P30" i="30" s="1"/>
  <c r="P10" i="32" s="1"/>
  <c r="F94" i="31"/>
  <c r="F102" i="31" s="1"/>
  <c r="F30" i="30" s="1"/>
  <c r="F10" i="32" s="1"/>
  <c r="J94" i="31"/>
  <c r="J102" i="31" s="1"/>
  <c r="J30" i="30" s="1"/>
  <c r="J10" i="32" s="1"/>
  <c r="I94" i="31"/>
  <c r="I102" i="31" s="1"/>
  <c r="I30" i="30" s="1"/>
  <c r="I10" i="32" s="1"/>
  <c r="Q94" i="31"/>
  <c r="Q102" i="31" s="1"/>
  <c r="Q30" i="30" s="1"/>
  <c r="Q10" i="32" s="1"/>
  <c r="T94" i="31"/>
  <c r="T102" i="31" s="1"/>
  <c r="T30" i="30" s="1"/>
  <c r="T10" i="32" s="1"/>
  <c r="D94" i="31"/>
  <c r="D102" i="31" s="1"/>
  <c r="D30" i="30" s="1"/>
  <c r="W94" i="31"/>
  <c r="W102" i="31" s="1"/>
  <c r="W30" i="30" s="1"/>
  <c r="W10" i="32" s="1"/>
  <c r="G94" i="31"/>
  <c r="G102" i="31" s="1"/>
  <c r="G30" i="30" s="1"/>
  <c r="G10" i="32" s="1"/>
  <c r="O94" i="31"/>
  <c r="O102" i="31" s="1"/>
  <c r="O30" i="30" s="1"/>
  <c r="O10" i="32" s="1"/>
  <c r="D97" i="12"/>
  <c r="D15" i="15" s="1"/>
  <c r="E39" i="29"/>
  <c r="D22" i="15"/>
  <c r="D42" i="18" s="1"/>
  <c r="D44" i="18" s="1"/>
  <c r="D54" i="17"/>
  <c r="D61" i="17" s="1"/>
  <c r="D13" i="17" s="1"/>
  <c r="D27" i="18" s="1"/>
  <c r="D26" i="10"/>
  <c r="D28" i="10" s="1"/>
  <c r="D10" i="17"/>
  <c r="D25" i="18" s="1"/>
  <c r="D16" i="18"/>
  <c r="D32" i="14"/>
  <c r="E33" i="18"/>
  <c r="E50" i="17" l="1"/>
  <c r="E23" i="15" s="1"/>
  <c r="E22" i="15"/>
  <c r="E88" i="12"/>
  <c r="E93" i="12" s="1"/>
  <c r="E97" i="12" s="1"/>
  <c r="F88" i="12" s="1"/>
  <c r="F93" i="12" s="1"/>
  <c r="F97" i="12" s="1"/>
  <c r="E16" i="18"/>
  <c r="E32" i="14"/>
  <c r="E8" i="17" s="1"/>
  <c r="D22" i="12"/>
  <c r="D23" i="12" s="1"/>
  <c r="E22" i="12"/>
  <c r="E22" i="29"/>
  <c r="E26" i="29" s="1"/>
  <c r="E28" i="29" s="1"/>
  <c r="E22" i="31" s="1"/>
  <c r="E55" i="32"/>
  <c r="D10" i="32"/>
  <c r="D32" i="30"/>
  <c r="D8" i="32" s="1"/>
  <c r="E32" i="30"/>
  <c r="E8" i="32" s="1"/>
  <c r="D96" i="31"/>
  <c r="D26" i="29"/>
  <c r="D28" i="29" s="1"/>
  <c r="D22" i="31" s="1"/>
  <c r="D23" i="31" s="1"/>
  <c r="D22" i="33"/>
  <c r="E22" i="33" s="1"/>
  <c r="F22" i="33" s="1"/>
  <c r="G22" i="33" s="1"/>
  <c r="H22" i="33" s="1"/>
  <c r="I22" i="33" s="1"/>
  <c r="J22" i="33" s="1"/>
  <c r="K22" i="33" s="1"/>
  <c r="L22" i="33" s="1"/>
  <c r="M22" i="33" s="1"/>
  <c r="N22" i="33" s="1"/>
  <c r="O22" i="33" s="1"/>
  <c r="P22" i="33" s="1"/>
  <c r="Q22" i="33" s="1"/>
  <c r="R22" i="33" s="1"/>
  <c r="S22" i="33" s="1"/>
  <c r="T22" i="33" s="1"/>
  <c r="U22" i="33" s="1"/>
  <c r="V22" i="33" s="1"/>
  <c r="W22" i="33" s="1"/>
  <c r="D59" i="32"/>
  <c r="D66" i="32" s="1"/>
  <c r="D13" i="32" s="1"/>
  <c r="D29" i="10"/>
  <c r="D33" i="10" s="1"/>
  <c r="E54" i="17"/>
  <c r="E61" i="17" s="1"/>
  <c r="E13" i="17" s="1"/>
  <c r="E27" i="18" s="1"/>
  <c r="D8" i="17"/>
  <c r="D17" i="18"/>
  <c r="F22" i="15"/>
  <c r="G22" i="15" s="1"/>
  <c r="H22" i="15" s="1"/>
  <c r="I22" i="15" s="1"/>
  <c r="J22" i="15" s="1"/>
  <c r="K22" i="15" s="1"/>
  <c r="L22" i="15" s="1"/>
  <c r="M22" i="15" s="1"/>
  <c r="N22" i="15" s="1"/>
  <c r="O22" i="15" s="1"/>
  <c r="P22" i="15" s="1"/>
  <c r="Q22" i="15" s="1"/>
  <c r="R22" i="15" s="1"/>
  <c r="S22" i="15" s="1"/>
  <c r="T22" i="15" s="1"/>
  <c r="U22" i="15" s="1"/>
  <c r="V22" i="15" s="1"/>
  <c r="W22" i="15" s="1"/>
  <c r="D17" i="15"/>
  <c r="D40" i="18" s="1"/>
  <c r="E42" i="18" l="1"/>
  <c r="E15" i="15"/>
  <c r="E17" i="15" s="1"/>
  <c r="E40" i="18" s="1"/>
  <c r="E17" i="18"/>
  <c r="E23" i="12"/>
  <c r="E23" i="31"/>
  <c r="E29" i="10"/>
  <c r="E33" i="10" s="1"/>
  <c r="E87" i="31"/>
  <c r="E92" i="31" s="1"/>
  <c r="E96" i="31" s="1"/>
  <c r="D15" i="33"/>
  <c r="D17" i="33" s="1"/>
  <c r="D15" i="32"/>
  <c r="D21" i="32" s="1"/>
  <c r="D29" i="29"/>
  <c r="D32" i="29" s="1"/>
  <c r="E59" i="32"/>
  <c r="E66" i="32" s="1"/>
  <c r="E13" i="32" s="1"/>
  <c r="E15" i="32" s="1"/>
  <c r="E21" i="32" s="1"/>
  <c r="E23" i="33"/>
  <c r="D15" i="17"/>
  <c r="D24" i="18"/>
  <c r="E24" i="18"/>
  <c r="E15" i="17"/>
  <c r="G88" i="12"/>
  <c r="G93" i="12" s="1"/>
  <c r="G97" i="12" s="1"/>
  <c r="F15" i="15"/>
  <c r="D21" i="17" l="1"/>
  <c r="D10" i="16" s="1"/>
  <c r="E21" i="17"/>
  <c r="E10" i="16" s="1"/>
  <c r="E29" i="29"/>
  <c r="E32" i="29" s="1"/>
  <c r="E15" i="33"/>
  <c r="E17" i="33" s="1"/>
  <c r="F87" i="31"/>
  <c r="F92" i="31" s="1"/>
  <c r="F96" i="31" s="1"/>
  <c r="F17" i="15"/>
  <c r="F40" i="18" s="1"/>
  <c r="G15" i="15"/>
  <c r="G17" i="15" s="1"/>
  <c r="G40" i="18" s="1"/>
  <c r="H88" i="12"/>
  <c r="H93" i="12" s="1"/>
  <c r="H97" i="12" s="1"/>
  <c r="D29" i="17" l="1"/>
  <c r="D34" i="17" s="1"/>
  <c r="D38" i="17" s="1"/>
  <c r="D43" i="17" s="1"/>
  <c r="D29" i="18"/>
  <c r="E29" i="18"/>
  <c r="G87" i="31"/>
  <c r="G92" i="31" s="1"/>
  <c r="G96" i="31" s="1"/>
  <c r="F15" i="33"/>
  <c r="F17" i="33" s="1"/>
  <c r="D18" i="16"/>
  <c r="D14" i="16"/>
  <c r="I88" i="12"/>
  <c r="I93" i="12" s="1"/>
  <c r="I97" i="12" s="1"/>
  <c r="H15" i="15"/>
  <c r="H17" i="15" s="1"/>
  <c r="H40" i="18" s="1"/>
  <c r="E14" i="16"/>
  <c r="E18" i="16"/>
  <c r="D37" i="18" l="1"/>
  <c r="H87" i="31"/>
  <c r="H92" i="31" s="1"/>
  <c r="H96" i="31" s="1"/>
  <c r="G15" i="33"/>
  <c r="G17" i="33" s="1"/>
  <c r="D24" i="15"/>
  <c r="D28" i="4"/>
  <c r="E40" i="17"/>
  <c r="E35" i="16"/>
  <c r="E21" i="16"/>
  <c r="I15" i="15"/>
  <c r="J88" i="12"/>
  <c r="J93" i="12" s="1"/>
  <c r="J97" i="12" s="1"/>
  <c r="D21" i="16"/>
  <c r="D35" i="16"/>
  <c r="E25" i="17"/>
  <c r="E29" i="17" s="1"/>
  <c r="E34" i="17" s="1"/>
  <c r="E38" i="17" s="1"/>
  <c r="F25" i="17"/>
  <c r="F31" i="18" s="1"/>
  <c r="G25" i="17"/>
  <c r="G31" i="18" s="1"/>
  <c r="H25" i="17"/>
  <c r="H31" i="18" s="1"/>
  <c r="I25" i="17"/>
  <c r="I31" i="18" s="1"/>
  <c r="J25" i="17"/>
  <c r="J31" i="18" s="1"/>
  <c r="I87" i="31" l="1"/>
  <c r="I92" i="31" s="1"/>
  <c r="I96" i="31" s="1"/>
  <c r="H15" i="33"/>
  <c r="H17" i="33" s="1"/>
  <c r="I17" i="15"/>
  <c r="I40" i="18" s="1"/>
  <c r="J15" i="15"/>
  <c r="J17" i="15" s="1"/>
  <c r="J40" i="18" s="1"/>
  <c r="K88" i="12"/>
  <c r="K93" i="12" s="1"/>
  <c r="K97" i="12" s="1"/>
  <c r="D41" i="18"/>
  <c r="D26" i="15"/>
  <c r="D35" i="15" s="1"/>
  <c r="D39" i="15" s="1"/>
  <c r="E31" i="18"/>
  <c r="E43" i="17"/>
  <c r="F40" i="17" s="1"/>
  <c r="E37" i="18"/>
  <c r="J87" i="31" l="1"/>
  <c r="J92" i="31" s="1"/>
  <c r="J96" i="31" s="1"/>
  <c r="I15" i="33"/>
  <c r="I17" i="33" s="1"/>
  <c r="D45" i="18"/>
  <c r="L88" i="12"/>
  <c r="L93" i="12" s="1"/>
  <c r="L97" i="12" s="1"/>
  <c r="K15" i="15"/>
  <c r="E24" i="15"/>
  <c r="E28" i="4"/>
  <c r="E32" i="4" s="1"/>
  <c r="K87" i="31" l="1"/>
  <c r="K92" i="31" s="1"/>
  <c r="K96" i="31" s="1"/>
  <c r="J15" i="33"/>
  <c r="J17" i="33" s="1"/>
  <c r="K17" i="15"/>
  <c r="K40" i="18" s="1"/>
  <c r="L15" i="15"/>
  <c r="L17" i="15" s="1"/>
  <c r="L40" i="18" s="1"/>
  <c r="M88" i="12"/>
  <c r="M93" i="12" s="1"/>
  <c r="M97" i="12" s="1"/>
  <c r="E26" i="15"/>
  <c r="E41" i="18"/>
  <c r="K15" i="33" l="1"/>
  <c r="K17" i="33" s="1"/>
  <c r="L87" i="31"/>
  <c r="L92" i="31" s="1"/>
  <c r="L96" i="31" s="1"/>
  <c r="N88" i="12"/>
  <c r="N93" i="12" s="1"/>
  <c r="N97" i="12" s="1"/>
  <c r="M15" i="15"/>
  <c r="M17" i="15" s="1"/>
  <c r="M40" i="18" s="1"/>
  <c r="F32" i="17"/>
  <c r="F36" i="16"/>
  <c r="M87" i="31" l="1"/>
  <c r="M92" i="31" s="1"/>
  <c r="M96" i="31" s="1"/>
  <c r="L15" i="33"/>
  <c r="L17" i="33" s="1"/>
  <c r="N15" i="15"/>
  <c r="N17" i="15" s="1"/>
  <c r="N40" i="18" s="1"/>
  <c r="O88" i="12"/>
  <c r="O93" i="12" s="1"/>
  <c r="O97" i="12" s="1"/>
  <c r="F33" i="18"/>
  <c r="N87" i="31" l="1"/>
  <c r="N92" i="31" s="1"/>
  <c r="N96" i="31" s="1"/>
  <c r="M15" i="33"/>
  <c r="M17" i="33" s="1"/>
  <c r="P88" i="12"/>
  <c r="P93" i="12" s="1"/>
  <c r="P97" i="12" s="1"/>
  <c r="O15" i="15"/>
  <c r="O17" i="15" s="1"/>
  <c r="O40" i="18" s="1"/>
  <c r="N15" i="33" l="1"/>
  <c r="N17" i="33" s="1"/>
  <c r="O87" i="31"/>
  <c r="O92" i="31" s="1"/>
  <c r="O96" i="31" s="1"/>
  <c r="Q88" i="12"/>
  <c r="Q93" i="12" s="1"/>
  <c r="Q97" i="12" s="1"/>
  <c r="P15" i="15"/>
  <c r="P17" i="15" s="1"/>
  <c r="P40" i="18" s="1"/>
  <c r="G32" i="17"/>
  <c r="G36" i="16"/>
  <c r="P87" i="31" l="1"/>
  <c r="P92" i="31" s="1"/>
  <c r="P96" i="31" s="1"/>
  <c r="O15" i="33"/>
  <c r="O17" i="33" s="1"/>
  <c r="R88" i="12"/>
  <c r="R93" i="12" s="1"/>
  <c r="R97" i="12" s="1"/>
  <c r="Q15" i="15"/>
  <c r="Q17" i="15" s="1"/>
  <c r="Q40" i="18" s="1"/>
  <c r="G33" i="18"/>
  <c r="P15" i="33" l="1"/>
  <c r="P17" i="33" s="1"/>
  <c r="Q87" i="31"/>
  <c r="Q92" i="31" s="1"/>
  <c r="Q96" i="31" s="1"/>
  <c r="S88" i="12"/>
  <c r="S93" i="12" s="1"/>
  <c r="S97" i="12" s="1"/>
  <c r="R15" i="15"/>
  <c r="R17" i="15" s="1"/>
  <c r="R40" i="18" s="1"/>
  <c r="R87" i="31" l="1"/>
  <c r="R92" i="31" s="1"/>
  <c r="R96" i="31" s="1"/>
  <c r="Q15" i="33"/>
  <c r="Q17" i="33" s="1"/>
  <c r="S15" i="15"/>
  <c r="S17" i="15" s="1"/>
  <c r="S40" i="18" s="1"/>
  <c r="T88" i="12"/>
  <c r="T93" i="12" s="1"/>
  <c r="T97" i="12" s="1"/>
  <c r="S87" i="31" l="1"/>
  <c r="S92" i="31" s="1"/>
  <c r="S96" i="31" s="1"/>
  <c r="R15" i="33"/>
  <c r="R17" i="33" s="1"/>
  <c r="T15" i="15"/>
  <c r="T17" i="15" s="1"/>
  <c r="T40" i="18" s="1"/>
  <c r="U88" i="12"/>
  <c r="U93" i="12" s="1"/>
  <c r="U97" i="12" s="1"/>
  <c r="T87" i="31" l="1"/>
  <c r="T92" i="31" s="1"/>
  <c r="T96" i="31" s="1"/>
  <c r="S15" i="33"/>
  <c r="S17" i="33" s="1"/>
  <c r="U15" i="15"/>
  <c r="U17" i="15" s="1"/>
  <c r="U40" i="18" s="1"/>
  <c r="V88" i="12"/>
  <c r="V93" i="12" s="1"/>
  <c r="V97" i="12" s="1"/>
  <c r="U87" i="31" l="1"/>
  <c r="U92" i="31" s="1"/>
  <c r="U96" i="31" s="1"/>
  <c r="T15" i="33"/>
  <c r="T17" i="33" s="1"/>
  <c r="V15" i="15"/>
  <c r="V17" i="15" s="1"/>
  <c r="V40" i="18" s="1"/>
  <c r="W88" i="12"/>
  <c r="W93" i="12" s="1"/>
  <c r="W97" i="12" s="1"/>
  <c r="W15" i="15" s="1"/>
  <c r="U15" i="33" l="1"/>
  <c r="U17" i="33" s="1"/>
  <c r="V87" i="31"/>
  <c r="V92" i="31" s="1"/>
  <c r="V96" i="31" s="1"/>
  <c r="W17" i="15"/>
  <c r="W40" i="18" s="1"/>
  <c r="W87" i="31" l="1"/>
  <c r="W92" i="31" s="1"/>
  <c r="W96" i="31" s="1"/>
  <c r="W15" i="33" s="1"/>
  <c r="W17" i="33" s="1"/>
  <c r="V15" i="33"/>
  <c r="V17" i="33" s="1"/>
  <c r="E25" i="32" l="1"/>
  <c r="E29" i="32" s="1"/>
  <c r="F25" i="32"/>
  <c r="G25" i="32"/>
  <c r="H25" i="32"/>
  <c r="I25" i="32"/>
  <c r="J25" i="32"/>
  <c r="D25" i="32" l="1"/>
  <c r="D29" i="32" s="1"/>
  <c r="D20" i="31"/>
  <c r="D17" i="31" s="1"/>
  <c r="D18" i="31" l="1"/>
  <c r="D19" i="31" s="1"/>
  <c r="D44" i="33"/>
  <c r="E12" i="31"/>
  <c r="E17" i="31" l="1"/>
  <c r="E20" i="31"/>
  <c r="D32" i="32"/>
  <c r="D34" i="32" s="1"/>
  <c r="D38" i="32" s="1"/>
  <c r="D99" i="31"/>
  <c r="D43" i="32" l="1"/>
  <c r="E40" i="32" s="1"/>
  <c r="D104" i="31"/>
  <c r="D34" i="30"/>
  <c r="D39" i="30" s="1"/>
  <c r="D43" i="30" s="1"/>
  <c r="D48" i="30" s="1"/>
  <c r="E44" i="33"/>
  <c r="E18" i="31"/>
  <c r="D24" i="33" l="1"/>
  <c r="D26" i="33" s="1"/>
  <c r="D35" i="33" s="1"/>
  <c r="D39" i="33" s="1"/>
  <c r="E32" i="32"/>
  <c r="E34" i="32" s="1"/>
  <c r="C4" i="38" s="1"/>
  <c r="C6" i="38" s="1"/>
  <c r="E99" i="31"/>
  <c r="D45" i="33"/>
  <c r="D47" i="33" s="1"/>
  <c r="D49" i="33" s="1"/>
  <c r="D56" i="30"/>
  <c r="E19" i="31"/>
  <c r="F12" i="31" s="1"/>
  <c r="E38" i="32" l="1"/>
  <c r="E43" i="32"/>
  <c r="E24" i="33" s="1"/>
  <c r="E26" i="33" s="1"/>
  <c r="E34" i="30"/>
  <c r="E39" i="30" s="1"/>
  <c r="E104" i="31"/>
  <c r="F17" i="31"/>
  <c r="F20" i="31"/>
  <c r="F40" i="32" l="1"/>
  <c r="F24" i="29"/>
  <c r="F23" i="29"/>
  <c r="F44" i="33"/>
  <c r="F18" i="31"/>
  <c r="F19" i="31" s="1"/>
  <c r="G12" i="31" s="1"/>
  <c r="E41" i="30"/>
  <c r="E43" i="30" s="1"/>
  <c r="E48" i="30" s="1"/>
  <c r="G17" i="31" l="1"/>
  <c r="G20" i="31"/>
  <c r="F32" i="32"/>
  <c r="F99" i="31"/>
  <c r="E31" i="33"/>
  <c r="E33" i="33" s="1"/>
  <c r="E35" i="33" s="1"/>
  <c r="E39" i="33" s="1"/>
  <c r="F27" i="32"/>
  <c r="E45" i="33"/>
  <c r="E47" i="33" s="1"/>
  <c r="E56" i="30"/>
  <c r="G24" i="29" l="1"/>
  <c r="G23" i="29"/>
  <c r="E49" i="33"/>
  <c r="F34" i="30"/>
  <c r="F104" i="31"/>
  <c r="G44" i="33"/>
  <c r="G18" i="31"/>
  <c r="G32" i="32" l="1"/>
  <c r="G99" i="31"/>
  <c r="G19" i="31"/>
  <c r="H12" i="31" s="1"/>
  <c r="H17" i="31" l="1"/>
  <c r="H20" i="31"/>
  <c r="G34" i="30"/>
  <c r="G104" i="31"/>
  <c r="H23" i="29" l="1"/>
  <c r="H24" i="29"/>
  <c r="H44" i="33"/>
  <c r="H18" i="31"/>
  <c r="H19" i="31" s="1"/>
  <c r="I12" i="31" s="1"/>
  <c r="I20" i="31" l="1"/>
  <c r="I17" i="31"/>
  <c r="H32" i="32"/>
  <c r="H99" i="31"/>
  <c r="I24" i="29" l="1"/>
  <c r="I23" i="29"/>
  <c r="H104" i="31"/>
  <c r="H34" i="30"/>
  <c r="I18" i="31"/>
  <c r="I19" i="31" s="1"/>
  <c r="J12" i="31" s="1"/>
  <c r="I44" i="33"/>
  <c r="J20" i="31" l="1"/>
  <c r="J17" i="31"/>
  <c r="I32" i="32"/>
  <c r="I99" i="31"/>
  <c r="J23" i="29" l="1"/>
  <c r="J24" i="29"/>
  <c r="I104" i="31"/>
  <c r="I34" i="30"/>
  <c r="J18" i="31"/>
  <c r="J19" i="31" s="1"/>
  <c r="K12" i="31" s="1"/>
  <c r="J44" i="33"/>
  <c r="K20" i="31" l="1"/>
  <c r="K17" i="31"/>
  <c r="J32" i="32"/>
  <c r="J99" i="31"/>
  <c r="K24" i="29" l="1"/>
  <c r="K23" i="29"/>
  <c r="K18" i="31"/>
  <c r="J104" i="31"/>
  <c r="J34" i="30"/>
  <c r="K44" i="33"/>
  <c r="K32" i="32" l="1"/>
  <c r="K99" i="31"/>
  <c r="K19" i="31"/>
  <c r="L12" i="31" s="1"/>
  <c r="L20" i="31" l="1"/>
  <c r="L17" i="31"/>
  <c r="K104" i="31"/>
  <c r="K34" i="30"/>
  <c r="L23" i="29" l="1"/>
  <c r="L24" i="29"/>
  <c r="L18" i="31"/>
  <c r="L19" i="31" s="1"/>
  <c r="M12" i="31" s="1"/>
  <c r="L44" i="33"/>
  <c r="M17" i="31" l="1"/>
  <c r="M20" i="31"/>
  <c r="L32" i="32"/>
  <c r="L99" i="31"/>
  <c r="M24" i="29" l="1"/>
  <c r="M23" i="29"/>
  <c r="L104" i="31"/>
  <c r="L34" i="30"/>
  <c r="M44" i="33"/>
  <c r="M18" i="31"/>
  <c r="M19" i="31" s="1"/>
  <c r="N12" i="31" s="1"/>
  <c r="N17" i="31" l="1"/>
  <c r="N20" i="31"/>
  <c r="M32" i="32"/>
  <c r="M99" i="31"/>
  <c r="N23" i="29" l="1"/>
  <c r="N24" i="29"/>
  <c r="M34" i="30"/>
  <c r="M104" i="31"/>
  <c r="N44" i="33"/>
  <c r="N18" i="31"/>
  <c r="N19" i="31" s="1"/>
  <c r="O12" i="31" s="1"/>
  <c r="O17" i="31" l="1"/>
  <c r="O20" i="31"/>
  <c r="N32" i="32"/>
  <c r="N99" i="31"/>
  <c r="O24" i="29" l="1"/>
  <c r="O23" i="29"/>
  <c r="N34" i="30"/>
  <c r="N104" i="31"/>
  <c r="O44" i="33"/>
  <c r="O18" i="31"/>
  <c r="O32" i="32" l="1"/>
  <c r="O99" i="31"/>
  <c r="O19" i="31"/>
  <c r="P12" i="31" s="1"/>
  <c r="O34" i="30" l="1"/>
  <c r="O104" i="31"/>
  <c r="P20" i="31"/>
  <c r="P17" i="31"/>
  <c r="P23" i="29" l="1"/>
  <c r="P24" i="29"/>
  <c r="P18" i="31"/>
  <c r="P19" i="31" s="1"/>
  <c r="Q12" i="31" s="1"/>
  <c r="P44" i="33"/>
  <c r="Q20" i="31" l="1"/>
  <c r="Q17" i="31"/>
  <c r="P32" i="32"/>
  <c r="P99" i="31"/>
  <c r="Q24" i="29" l="1"/>
  <c r="Q23" i="29"/>
  <c r="P104" i="31"/>
  <c r="P34" i="30"/>
  <c r="Q18" i="31"/>
  <c r="Q44" i="33"/>
  <c r="Q32" i="32" l="1"/>
  <c r="Q99" i="31"/>
  <c r="Q19" i="31"/>
  <c r="R12" i="31" s="1"/>
  <c r="R20" i="31" l="1"/>
  <c r="R17" i="31"/>
  <c r="Q104" i="31"/>
  <c r="Q34" i="30"/>
  <c r="R23" i="29" l="1"/>
  <c r="R24" i="29"/>
  <c r="R18" i="31"/>
  <c r="R19" i="31" s="1"/>
  <c r="S12" i="31" s="1"/>
  <c r="S14" i="31" s="1"/>
  <c r="R44" i="33"/>
  <c r="S31" i="32" l="1"/>
  <c r="S100" i="31"/>
  <c r="S20" i="31"/>
  <c r="S17" i="31"/>
  <c r="R32" i="32"/>
  <c r="R99" i="31"/>
  <c r="S24" i="29" l="1"/>
  <c r="S23" i="29"/>
  <c r="R104" i="31"/>
  <c r="R34" i="30"/>
  <c r="S18" i="31"/>
  <c r="S19" i="31" s="1"/>
  <c r="T12" i="31" s="1"/>
  <c r="T14" i="31" s="1"/>
  <c r="U14" i="31" s="1"/>
  <c r="V14" i="31" s="1"/>
  <c r="W14" i="31" s="1"/>
  <c r="S44" i="33"/>
  <c r="T20" i="31" l="1"/>
  <c r="T17" i="31"/>
  <c r="S32" i="32"/>
  <c r="S99" i="31"/>
  <c r="T23" i="29" l="1"/>
  <c r="T24" i="29"/>
  <c r="T44" i="33"/>
  <c r="S104" i="31"/>
  <c r="S34" i="30"/>
  <c r="T18" i="31"/>
  <c r="T19" i="31" s="1"/>
  <c r="U12" i="31" s="1"/>
  <c r="T31" i="32"/>
  <c r="T100" i="31"/>
  <c r="U17" i="31" l="1"/>
  <c r="U31" i="32"/>
  <c r="T32" i="32"/>
  <c r="T99" i="31"/>
  <c r="U100" i="31" l="1"/>
  <c r="U20" i="31"/>
  <c r="U18" i="31"/>
  <c r="U19" i="31" s="1"/>
  <c r="T104" i="31"/>
  <c r="T34" i="30"/>
  <c r="U24" i="29" l="1"/>
  <c r="U23" i="29"/>
  <c r="U99" i="31"/>
  <c r="U34" i="30" s="1"/>
  <c r="U32" i="32"/>
  <c r="U44" i="33"/>
  <c r="V12" i="31"/>
  <c r="U104" i="31" l="1"/>
  <c r="V17" i="31"/>
  <c r="V18" i="31" s="1"/>
  <c r="V31" i="32" l="1"/>
  <c r="V100" i="31"/>
  <c r="V20" i="31"/>
  <c r="V19" i="31"/>
  <c r="V99" i="31"/>
  <c r="V34" i="30" s="1"/>
  <c r="V32" i="32"/>
  <c r="V23" i="29" l="1"/>
  <c r="V24" i="29"/>
  <c r="V44" i="33"/>
  <c r="W12" i="31"/>
  <c r="V104" i="31"/>
  <c r="W17" i="31" l="1"/>
  <c r="W20" i="31"/>
  <c r="W44" i="33" l="1"/>
  <c r="W24" i="29"/>
  <c r="W23" i="29"/>
  <c r="W31" i="32"/>
  <c r="W100" i="31"/>
  <c r="W18" i="31"/>
  <c r="W19" i="31" s="1"/>
  <c r="W99" i="31" l="1"/>
  <c r="W34" i="30" s="1"/>
  <c r="W32" i="32"/>
  <c r="W104" i="31" l="1"/>
  <c r="D62" i="18" l="1"/>
  <c r="D63" i="18" s="1"/>
  <c r="D56" i="18"/>
  <c r="D58" i="18"/>
  <c r="D57" i="18"/>
  <c r="D65" i="18"/>
  <c r="D59" i="18" l="1"/>
  <c r="D67" i="18"/>
  <c r="F55" i="32" l="1"/>
  <c r="F23" i="33" s="1"/>
  <c r="F22" i="29"/>
  <c r="F59" i="32" l="1"/>
  <c r="F66" i="32" s="1"/>
  <c r="F13" i="32" s="1"/>
  <c r="F28" i="30" l="1"/>
  <c r="F26" i="29"/>
  <c r="F28" i="29" s="1"/>
  <c r="F22" i="31" s="1"/>
  <c r="F23" i="31" s="1"/>
  <c r="F29" i="30"/>
  <c r="F29" i="29" l="1"/>
  <c r="F32" i="30"/>
  <c r="G28" i="30" l="1"/>
  <c r="G29" i="30"/>
  <c r="G39" i="29"/>
  <c r="F8" i="32"/>
  <c r="F15" i="32" s="1"/>
  <c r="F21" i="32" s="1"/>
  <c r="F29" i="32" s="1"/>
  <c r="F34" i="32" s="1"/>
  <c r="D4" i="38" s="1"/>
  <c r="D6" i="38" s="1"/>
  <c r="F39" i="30"/>
  <c r="F32" i="29"/>
  <c r="F38" i="32" l="1"/>
  <c r="F43" i="32" s="1"/>
  <c r="G40" i="32" s="1"/>
  <c r="F24" i="33"/>
  <c r="F26" i="33" s="1"/>
  <c r="G55" i="32"/>
  <c r="G22" i="29"/>
  <c r="G26" i="29" s="1"/>
  <c r="G28" i="29" s="1"/>
  <c r="G22" i="31" s="1"/>
  <c r="G23" i="31" s="1"/>
  <c r="F41" i="30"/>
  <c r="G32" i="30"/>
  <c r="G8" i="32" l="1"/>
  <c r="G39" i="30"/>
  <c r="F31" i="33"/>
  <c r="F33" i="33" s="1"/>
  <c r="F35" i="33" s="1"/>
  <c r="F39" i="33" s="1"/>
  <c r="G27" i="32"/>
  <c r="H28" i="30"/>
  <c r="H39" i="29"/>
  <c r="H29" i="30"/>
  <c r="G23" i="33"/>
  <c r="G59" i="32"/>
  <c r="G66" i="32" s="1"/>
  <c r="G13" i="32" s="1"/>
  <c r="F43" i="30"/>
  <c r="F48" i="30" s="1"/>
  <c r="G29" i="29"/>
  <c r="F45" i="33" l="1"/>
  <c r="F47" i="33" s="1"/>
  <c r="F49" i="33" s="1"/>
  <c r="F56" i="30"/>
  <c r="G41" i="30"/>
  <c r="G43" i="30" s="1"/>
  <c r="G48" i="30" s="1"/>
  <c r="G32" i="29"/>
  <c r="H55" i="32"/>
  <c r="H22" i="29"/>
  <c r="H26" i="29" s="1"/>
  <c r="H28" i="29" s="1"/>
  <c r="H22" i="31" s="1"/>
  <c r="H23" i="31" s="1"/>
  <c r="H32" i="30"/>
  <c r="G15" i="32"/>
  <c r="G21" i="32" s="1"/>
  <c r="G29" i="32" s="1"/>
  <c r="G34" i="32" s="1"/>
  <c r="E4" i="38" s="1"/>
  <c r="E6" i="38" s="1"/>
  <c r="G38" i="32" l="1"/>
  <c r="G43" i="32" s="1"/>
  <c r="I28" i="30"/>
  <c r="H8" i="32"/>
  <c r="H39" i="30"/>
  <c r="H59" i="32"/>
  <c r="H66" i="32" s="1"/>
  <c r="H13" i="32" s="1"/>
  <c r="H23" i="33"/>
  <c r="G45" i="33"/>
  <c r="G47" i="33" s="1"/>
  <c r="G56" i="30"/>
  <c r="I29" i="30"/>
  <c r="I39" i="29"/>
  <c r="G24" i="33"/>
  <c r="G26" i="33" s="1"/>
  <c r="H40" i="32"/>
  <c r="H29" i="29"/>
  <c r="G31" i="33"/>
  <c r="G33" i="33" s="1"/>
  <c r="H27" i="32"/>
  <c r="H41" i="30" l="1"/>
  <c r="H32" i="29"/>
  <c r="G35" i="33"/>
  <c r="G39" i="33" s="1"/>
  <c r="G49" i="33" s="1"/>
  <c r="I55" i="32"/>
  <c r="I22" i="29"/>
  <c r="I26" i="29" s="1"/>
  <c r="I28" i="29" s="1"/>
  <c r="I22" i="31" s="1"/>
  <c r="I23" i="31" s="1"/>
  <c r="H15" i="32"/>
  <c r="H21" i="32" s="1"/>
  <c r="H29" i="32" s="1"/>
  <c r="H34" i="32" s="1"/>
  <c r="F4" i="38" s="1"/>
  <c r="F6" i="38" s="1"/>
  <c r="I32" i="30"/>
  <c r="H38" i="32" l="1"/>
  <c r="H43" i="32" s="1"/>
  <c r="I40" i="32" s="1"/>
  <c r="I23" i="33"/>
  <c r="I59" i="32"/>
  <c r="I66" i="32" s="1"/>
  <c r="I13" i="32" s="1"/>
  <c r="I27" i="32"/>
  <c r="H31" i="33"/>
  <c r="H33" i="33" s="1"/>
  <c r="H43" i="30"/>
  <c r="H48" i="30" s="1"/>
  <c r="I8" i="32"/>
  <c r="I39" i="30"/>
  <c r="I29" i="29"/>
  <c r="J28" i="30"/>
  <c r="J29" i="30"/>
  <c r="J39" i="29"/>
  <c r="H24" i="33" l="1"/>
  <c r="H26" i="33" s="1"/>
  <c r="I15" i="32"/>
  <c r="I21" i="32" s="1"/>
  <c r="I29" i="32" s="1"/>
  <c r="I34" i="32" s="1"/>
  <c r="G4" i="38" s="1"/>
  <c r="G6" i="38" s="1"/>
  <c r="J55" i="32"/>
  <c r="J22" i="29"/>
  <c r="J26" i="29" s="1"/>
  <c r="J28" i="29" s="1"/>
  <c r="J22" i="31" s="1"/>
  <c r="J23" i="31" s="1"/>
  <c r="I32" i="29"/>
  <c r="H35" i="33"/>
  <c r="H39" i="33" s="1"/>
  <c r="J32" i="30"/>
  <c r="I41" i="30"/>
  <c r="H56" i="30"/>
  <c r="H45" i="33"/>
  <c r="H47" i="33" s="1"/>
  <c r="K28" i="30"/>
  <c r="I38" i="32" l="1"/>
  <c r="I43" i="32" s="1"/>
  <c r="J40" i="32" s="1"/>
  <c r="H49" i="33"/>
  <c r="I31" i="33"/>
  <c r="I33" i="33" s="1"/>
  <c r="J27" i="32"/>
  <c r="J8" i="32"/>
  <c r="J39" i="30"/>
  <c r="J29" i="29"/>
  <c r="K29" i="30"/>
  <c r="K32" i="30" s="1"/>
  <c r="K39" i="29"/>
  <c r="I43" i="30"/>
  <c r="I48" i="30" s="1"/>
  <c r="J59" i="32"/>
  <c r="J66" i="32" s="1"/>
  <c r="J13" i="32" s="1"/>
  <c r="J23" i="33"/>
  <c r="I24" i="33" l="1"/>
  <c r="I26" i="33" s="1"/>
  <c r="I35" i="33" s="1"/>
  <c r="I39" i="33" s="1"/>
  <c r="K8" i="32"/>
  <c r="K39" i="30"/>
  <c r="K41" i="30" s="1"/>
  <c r="J32" i="29"/>
  <c r="J15" i="32"/>
  <c r="J21" i="32" s="1"/>
  <c r="J29" i="32" s="1"/>
  <c r="J34" i="32" s="1"/>
  <c r="H4" i="38" s="1"/>
  <c r="H6" i="38" s="1"/>
  <c r="L28" i="30"/>
  <c r="I45" i="33"/>
  <c r="I47" i="33" s="1"/>
  <c r="I56" i="30"/>
  <c r="K55" i="32"/>
  <c r="K22" i="29"/>
  <c r="K26" i="29" s="1"/>
  <c r="K28" i="29" s="1"/>
  <c r="K22" i="31" s="1"/>
  <c r="K23" i="31" s="1"/>
  <c r="J41" i="30"/>
  <c r="J43" i="30" s="1"/>
  <c r="J48" i="30" s="1"/>
  <c r="I49" i="33" l="1"/>
  <c r="J38" i="32"/>
  <c r="J43" i="32" s="1"/>
  <c r="J24" i="33" s="1"/>
  <c r="J26" i="33" s="1"/>
  <c r="K31" i="33"/>
  <c r="K33" i="33" s="1"/>
  <c r="L27" i="32"/>
  <c r="J45" i="33"/>
  <c r="J47" i="33" s="1"/>
  <c r="J56" i="30"/>
  <c r="K29" i="29"/>
  <c r="K40" i="32"/>
  <c r="K43" i="30"/>
  <c r="K48" i="30" s="1"/>
  <c r="J31" i="33"/>
  <c r="J33" i="33" s="1"/>
  <c r="K27" i="32"/>
  <c r="K23" i="33"/>
  <c r="K59" i="32"/>
  <c r="K66" i="32" s="1"/>
  <c r="K13" i="32" s="1"/>
  <c r="K15" i="32" s="1"/>
  <c r="K21" i="32" s="1"/>
  <c r="K29" i="32" s="1"/>
  <c r="K34" i="32" s="1"/>
  <c r="I4" i="38" s="1"/>
  <c r="I6" i="38" s="1"/>
  <c r="L39" i="29"/>
  <c r="L29" i="30"/>
  <c r="L32" i="30" s="1"/>
  <c r="K38" i="32" l="1"/>
  <c r="K43" i="32" s="1"/>
  <c r="L8" i="32"/>
  <c r="L39" i="30"/>
  <c r="J35" i="33"/>
  <c r="J39" i="33" s="1"/>
  <c r="J49" i="33" s="1"/>
  <c r="K24" i="33"/>
  <c r="K26" i="33" s="1"/>
  <c r="K35" i="33" s="1"/>
  <c r="K39" i="33" s="1"/>
  <c r="L40" i="32"/>
  <c r="L55" i="32"/>
  <c r="L22" i="29"/>
  <c r="L26" i="29" s="1"/>
  <c r="L28" i="29" s="1"/>
  <c r="L22" i="31" s="1"/>
  <c r="L23" i="31" s="1"/>
  <c r="K45" i="33"/>
  <c r="K47" i="33" s="1"/>
  <c r="K56" i="30"/>
  <c r="K32" i="29"/>
  <c r="M28" i="30"/>
  <c r="K49" i="33" l="1"/>
  <c r="M29" i="30"/>
  <c r="M32" i="30" s="1"/>
  <c r="M39" i="29"/>
  <c r="L29" i="29"/>
  <c r="L41" i="30"/>
  <c r="L59" i="32"/>
  <c r="L66" i="32" s="1"/>
  <c r="L13" i="32" s="1"/>
  <c r="L15" i="32" s="1"/>
  <c r="L21" i="32" s="1"/>
  <c r="L29" i="32" s="1"/>
  <c r="L34" i="32" s="1"/>
  <c r="J4" i="38" s="1"/>
  <c r="J6" i="38" s="1"/>
  <c r="L23" i="33"/>
  <c r="L38" i="32" l="1"/>
  <c r="L43" i="32" s="1"/>
  <c r="M40" i="32" s="1"/>
  <c r="M27" i="32"/>
  <c r="L31" i="33"/>
  <c r="L33" i="33" s="1"/>
  <c r="M55" i="32"/>
  <c r="M22" i="29"/>
  <c r="M26" i="29" s="1"/>
  <c r="M28" i="29" s="1"/>
  <c r="M22" i="31" s="1"/>
  <c r="M23" i="31" s="1"/>
  <c r="N28" i="30"/>
  <c r="M8" i="32"/>
  <c r="M39" i="30"/>
  <c r="L43" i="30"/>
  <c r="L48" i="30" s="1"/>
  <c r="L32" i="29"/>
  <c r="L24" i="33" l="1"/>
  <c r="L26" i="33" s="1"/>
  <c r="L35" i="33" s="1"/>
  <c r="L39" i="33" s="1"/>
  <c r="M41" i="30"/>
  <c r="M29" i="29"/>
  <c r="L56" i="30"/>
  <c r="L45" i="33"/>
  <c r="L47" i="33" s="1"/>
  <c r="N29" i="30"/>
  <c r="N32" i="30" s="1"/>
  <c r="N39" i="29"/>
  <c r="M23" i="33"/>
  <c r="M59" i="32"/>
  <c r="M66" i="32" s="1"/>
  <c r="M13" i="32" s="1"/>
  <c r="M15" i="32" s="1"/>
  <c r="M21" i="32" s="1"/>
  <c r="M29" i="32" s="1"/>
  <c r="M34" i="32" s="1"/>
  <c r="K4" i="38" s="1"/>
  <c r="K6" i="38" s="1"/>
  <c r="M38" i="32" l="1"/>
  <c r="M43" i="32" s="1"/>
  <c r="M24" i="33" s="1"/>
  <c r="M26" i="33" s="1"/>
  <c r="L49" i="33"/>
  <c r="N40" i="32"/>
  <c r="N55" i="32"/>
  <c r="N22" i="29"/>
  <c r="N26" i="29" s="1"/>
  <c r="N28" i="29" s="1"/>
  <c r="N22" i="31" s="1"/>
  <c r="N23" i="31" s="1"/>
  <c r="N8" i="32"/>
  <c r="N39" i="30"/>
  <c r="M31" i="33"/>
  <c r="M33" i="33" s="1"/>
  <c r="N27" i="32"/>
  <c r="M32" i="29"/>
  <c r="M43" i="30"/>
  <c r="M48" i="30" s="1"/>
  <c r="O28" i="30"/>
  <c r="M35" i="33" l="1"/>
  <c r="M39" i="33" s="1"/>
  <c r="O29" i="30"/>
  <c r="O32" i="30" s="1"/>
  <c r="O39" i="29"/>
  <c r="M45" i="33"/>
  <c r="M47" i="33" s="1"/>
  <c r="M56" i="30"/>
  <c r="N41" i="30"/>
  <c r="N29" i="29"/>
  <c r="N59" i="32"/>
  <c r="N66" i="32" s="1"/>
  <c r="N13" i="32" s="1"/>
  <c r="N15" i="32" s="1"/>
  <c r="N21" i="32" s="1"/>
  <c r="N29" i="32" s="1"/>
  <c r="N34" i="32" s="1"/>
  <c r="L4" i="38" s="1"/>
  <c r="L6" i="38" s="1"/>
  <c r="N23" i="33"/>
  <c r="N38" i="32" l="1"/>
  <c r="N43" i="32" s="1"/>
  <c r="O40" i="32" s="1"/>
  <c r="M49" i="33"/>
  <c r="N24" i="33"/>
  <c r="N26" i="33" s="1"/>
  <c r="N31" i="33"/>
  <c r="N33" i="33" s="1"/>
  <c r="O27" i="32"/>
  <c r="O55" i="32"/>
  <c r="O22" i="29"/>
  <c r="O26" i="29" s="1"/>
  <c r="O28" i="29" s="1"/>
  <c r="O22" i="31" s="1"/>
  <c r="O23" i="31" s="1"/>
  <c r="P28" i="30"/>
  <c r="O8" i="32"/>
  <c r="O39" i="30"/>
  <c r="N32" i="29"/>
  <c r="N43" i="30"/>
  <c r="N48" i="30" s="1"/>
  <c r="N35" i="33" l="1"/>
  <c r="N39" i="33" s="1"/>
  <c r="O41" i="30"/>
  <c r="P39" i="29"/>
  <c r="P29" i="30"/>
  <c r="P32" i="30" s="1"/>
  <c r="O23" i="33"/>
  <c r="O59" i="32"/>
  <c r="O66" i="32" s="1"/>
  <c r="O13" i="32" s="1"/>
  <c r="O15" i="32" s="1"/>
  <c r="O21" i="32" s="1"/>
  <c r="O29" i="32" s="1"/>
  <c r="O34" i="32" s="1"/>
  <c r="M4" i="38" s="1"/>
  <c r="M6" i="38" s="1"/>
  <c r="N45" i="33"/>
  <c r="N47" i="33" s="1"/>
  <c r="N56" i="30"/>
  <c r="O29" i="29"/>
  <c r="O38" i="32" l="1"/>
  <c r="O43" i="32" s="1"/>
  <c r="N49" i="33"/>
  <c r="P8" i="32"/>
  <c r="P39" i="30"/>
  <c r="O24" i="33"/>
  <c r="P40" i="32"/>
  <c r="O26" i="33"/>
  <c r="P55" i="32"/>
  <c r="P22" i="29"/>
  <c r="P26" i="29" s="1"/>
  <c r="P28" i="29" s="1"/>
  <c r="P22" i="31" s="1"/>
  <c r="P23" i="31" s="1"/>
  <c r="O31" i="33"/>
  <c r="O33" i="33" s="1"/>
  <c r="P27" i="32"/>
  <c r="O32" i="29"/>
  <c r="O43" i="30"/>
  <c r="O48" i="30" s="1"/>
  <c r="Q28" i="30"/>
  <c r="Q29" i="30" l="1"/>
  <c r="Q32" i="30" s="1"/>
  <c r="Q39" i="29"/>
  <c r="O45" i="33"/>
  <c r="O47" i="33" s="1"/>
  <c r="O56" i="30"/>
  <c r="P59" i="32"/>
  <c r="P66" i="32" s="1"/>
  <c r="P13" i="32" s="1"/>
  <c r="P15" i="32" s="1"/>
  <c r="P21" i="32" s="1"/>
  <c r="P29" i="32" s="1"/>
  <c r="P34" i="32" s="1"/>
  <c r="N4" i="38" s="1"/>
  <c r="N6" i="38" s="1"/>
  <c r="P23" i="33"/>
  <c r="P41" i="30"/>
  <c r="P29" i="29"/>
  <c r="O35" i="33"/>
  <c r="O39" i="33" s="1"/>
  <c r="P38" i="32" l="1"/>
  <c r="P43" i="32" s="1"/>
  <c r="O49" i="33"/>
  <c r="P32" i="29"/>
  <c r="Q27" i="32"/>
  <c r="P31" i="33"/>
  <c r="P33" i="33" s="1"/>
  <c r="Q55" i="32"/>
  <c r="Q22" i="29"/>
  <c r="Q26" i="29" s="1"/>
  <c r="Q28" i="29" s="1"/>
  <c r="Q22" i="31" s="1"/>
  <c r="Q23" i="31" s="1"/>
  <c r="R28" i="30"/>
  <c r="Q40" i="32"/>
  <c r="P24" i="33"/>
  <c r="P26" i="33" s="1"/>
  <c r="Q8" i="32"/>
  <c r="Q39" i="30"/>
  <c r="P43" i="30"/>
  <c r="P48" i="30" s="1"/>
  <c r="P35" i="33" l="1"/>
  <c r="P39" i="33" s="1"/>
  <c r="Q41" i="30"/>
  <c r="R29" i="30"/>
  <c r="R32" i="30" s="1"/>
  <c r="R39" i="29"/>
  <c r="Q23" i="33"/>
  <c r="Q59" i="32"/>
  <c r="Q66" i="32" s="1"/>
  <c r="Q13" i="32" s="1"/>
  <c r="Q15" i="32" s="1"/>
  <c r="Q21" i="32" s="1"/>
  <c r="Q29" i="32" s="1"/>
  <c r="Q34" i="32" s="1"/>
  <c r="O4" i="38" s="1"/>
  <c r="O6" i="38" s="1"/>
  <c r="P56" i="30"/>
  <c r="P45" i="33"/>
  <c r="P47" i="33" s="1"/>
  <c r="Q29" i="29"/>
  <c r="Q38" i="32" l="1"/>
  <c r="Q43" i="32" s="1"/>
  <c r="P49" i="33"/>
  <c r="R8" i="32"/>
  <c r="R39" i="30"/>
  <c r="Q24" i="33"/>
  <c r="R40" i="32"/>
  <c r="Q26" i="33"/>
  <c r="Q31" i="33"/>
  <c r="Q33" i="33" s="1"/>
  <c r="R27" i="32"/>
  <c r="Q32" i="29"/>
  <c r="R55" i="32"/>
  <c r="R22" i="29"/>
  <c r="R26" i="29" s="1"/>
  <c r="R28" i="29" s="1"/>
  <c r="R22" i="31" s="1"/>
  <c r="R23" i="31" s="1"/>
  <c r="Q43" i="30"/>
  <c r="Q48" i="30" s="1"/>
  <c r="S28" i="30"/>
  <c r="S29" i="30" l="1"/>
  <c r="S32" i="30" s="1"/>
  <c r="S39" i="29"/>
  <c r="Q45" i="33"/>
  <c r="Q47" i="33" s="1"/>
  <c r="Q56" i="30"/>
  <c r="R59" i="32"/>
  <c r="R66" i="32" s="1"/>
  <c r="R13" i="32" s="1"/>
  <c r="R15" i="32" s="1"/>
  <c r="R21" i="32" s="1"/>
  <c r="R29" i="32" s="1"/>
  <c r="R34" i="32" s="1"/>
  <c r="P4" i="38" s="1"/>
  <c r="P6" i="38" s="1"/>
  <c r="R23" i="33"/>
  <c r="R41" i="30"/>
  <c r="R29" i="29"/>
  <c r="Q35" i="33"/>
  <c r="Q39" i="33" s="1"/>
  <c r="R38" i="32" l="1"/>
  <c r="R43" i="32" s="1"/>
  <c r="Q49" i="33"/>
  <c r="R32" i="29"/>
  <c r="R31" i="33"/>
  <c r="R33" i="33" s="1"/>
  <c r="S27" i="32"/>
  <c r="S55" i="32"/>
  <c r="S22" i="29"/>
  <c r="S26" i="29" s="1"/>
  <c r="S28" i="29" s="1"/>
  <c r="S22" i="31" s="1"/>
  <c r="S23" i="31" s="1"/>
  <c r="S40" i="32"/>
  <c r="R24" i="33"/>
  <c r="R26" i="33" s="1"/>
  <c r="S8" i="32"/>
  <c r="S39" i="30"/>
  <c r="R43" i="30"/>
  <c r="R48" i="30" s="1"/>
  <c r="R35" i="33" l="1"/>
  <c r="R39" i="33" s="1"/>
  <c r="R45" i="33"/>
  <c r="R47" i="33" s="1"/>
  <c r="R56" i="30"/>
  <c r="S23" i="33"/>
  <c r="S59" i="32"/>
  <c r="S66" i="32" s="1"/>
  <c r="S13" i="32" s="1"/>
  <c r="S15" i="32" s="1"/>
  <c r="S21" i="32" s="1"/>
  <c r="S29" i="32" s="1"/>
  <c r="S34" i="32" s="1"/>
  <c r="Q4" i="38" s="1"/>
  <c r="Q6" i="38" s="1"/>
  <c r="S41" i="30"/>
  <c r="S43" i="30" s="1"/>
  <c r="S48" i="30" s="1"/>
  <c r="S29" i="29"/>
  <c r="S38" i="32" l="1"/>
  <c r="S43" i="32" s="1"/>
  <c r="S24" i="33" s="1"/>
  <c r="S26" i="33" s="1"/>
  <c r="R49" i="33"/>
  <c r="S32" i="29"/>
  <c r="S45" i="33"/>
  <c r="S47" i="33" s="1"/>
  <c r="S56" i="30"/>
  <c r="S31" i="33"/>
  <c r="S33" i="33" s="1"/>
  <c r="T27" i="32"/>
  <c r="T40" i="32" l="1"/>
  <c r="S35" i="33"/>
  <c r="S39" i="33" s="1"/>
  <c r="S49" i="33" s="1"/>
  <c r="T28" i="30" l="1"/>
  <c r="T29" i="30"/>
  <c r="T39" i="29" l="1"/>
  <c r="T55" i="32" s="1"/>
  <c r="T32" i="30"/>
  <c r="T8" i="32" s="1"/>
  <c r="T22" i="29" l="1"/>
  <c r="T26" i="29" s="1"/>
  <c r="T28" i="29" s="1"/>
  <c r="T22" i="31" s="1"/>
  <c r="T23" i="31" s="1"/>
  <c r="T39" i="30"/>
  <c r="T41" i="30"/>
  <c r="T43" i="30" s="1"/>
  <c r="T48" i="30" s="1"/>
  <c r="T23" i="33"/>
  <c r="T59" i="32"/>
  <c r="T66" i="32" s="1"/>
  <c r="T13" i="32" s="1"/>
  <c r="T15" i="32" s="1"/>
  <c r="T21" i="32" s="1"/>
  <c r="T29" i="32" s="1"/>
  <c r="T34" i="32" s="1"/>
  <c r="R4" i="38" s="1"/>
  <c r="R6" i="38" s="1"/>
  <c r="T38" i="32" l="1"/>
  <c r="T43" i="32" s="1"/>
  <c r="T29" i="29"/>
  <c r="T32" i="29" s="1"/>
  <c r="T24" i="33"/>
  <c r="T26" i="33" s="1"/>
  <c r="U40" i="32"/>
  <c r="U28" i="30"/>
  <c r="U29" i="30"/>
  <c r="U39" i="29"/>
  <c r="T45" i="33"/>
  <c r="T47" i="33" s="1"/>
  <c r="T56" i="30"/>
  <c r="T31" i="33"/>
  <c r="T33" i="33" s="1"/>
  <c r="U27" i="32"/>
  <c r="T35" i="33" l="1"/>
  <c r="T39" i="33" s="1"/>
  <c r="T49" i="33" s="1"/>
  <c r="U32" i="30"/>
  <c r="U39" i="30" s="1"/>
  <c r="U55" i="32"/>
  <c r="U22" i="29"/>
  <c r="U26" i="29" s="1"/>
  <c r="U28" i="29" s="1"/>
  <c r="U22" i="31" s="1"/>
  <c r="U23" i="31" s="1"/>
  <c r="U8" i="32" l="1"/>
  <c r="U41" i="30"/>
  <c r="U29" i="29"/>
  <c r="U23" i="33"/>
  <c r="U59" i="32"/>
  <c r="U66" i="32" s="1"/>
  <c r="U13" i="32" s="1"/>
  <c r="U15" i="32" l="1"/>
  <c r="U21" i="32" s="1"/>
  <c r="U29" i="32" s="1"/>
  <c r="U34" i="32" s="1"/>
  <c r="S4" i="38" s="1"/>
  <c r="S6" i="38" s="1"/>
  <c r="V39" i="29"/>
  <c r="V29" i="30"/>
  <c r="V28" i="30"/>
  <c r="U32" i="29"/>
  <c r="V27" i="32"/>
  <c r="U31" i="33"/>
  <c r="U33" i="33" s="1"/>
  <c r="U43" i="30"/>
  <c r="U48" i="30" s="1"/>
  <c r="U38" i="32" l="1"/>
  <c r="U43" i="32" s="1"/>
  <c r="V40" i="32" s="1"/>
  <c r="V32" i="30"/>
  <c r="V8" i="32" s="1"/>
  <c r="V22" i="29"/>
  <c r="V26" i="29" s="1"/>
  <c r="V28" i="29" s="1"/>
  <c r="V22" i="31" s="1"/>
  <c r="V23" i="31" s="1"/>
  <c r="V55" i="32"/>
  <c r="U45" i="33"/>
  <c r="U47" i="33" s="1"/>
  <c r="U56" i="30"/>
  <c r="U24" i="33" l="1"/>
  <c r="U26" i="33" s="1"/>
  <c r="U35" i="33" s="1"/>
  <c r="U39" i="33" s="1"/>
  <c r="U49" i="33" s="1"/>
  <c r="V39" i="30"/>
  <c r="V59" i="32"/>
  <c r="V66" i="32" s="1"/>
  <c r="V13" i="32" s="1"/>
  <c r="V15" i="32" s="1"/>
  <c r="V21" i="32" s="1"/>
  <c r="V29" i="32" s="1"/>
  <c r="V34" i="32" s="1"/>
  <c r="T4" i="38" s="1"/>
  <c r="T6" i="38" s="1"/>
  <c r="V23" i="33"/>
  <c r="V41" i="30"/>
  <c r="V43" i="30" s="1"/>
  <c r="V48" i="30" s="1"/>
  <c r="W28" i="30"/>
  <c r="Y24" i="29"/>
  <c r="V29" i="29"/>
  <c r="V32" i="29" s="1"/>
  <c r="W29" i="30"/>
  <c r="W39" i="29"/>
  <c r="Y23" i="29"/>
  <c r="V38" i="32" l="1"/>
  <c r="V43" i="32" s="1"/>
  <c r="W32" i="30"/>
  <c r="W39" i="30" s="1"/>
  <c r="W22" i="29"/>
  <c r="W26" i="29" s="1"/>
  <c r="W28" i="29" s="1"/>
  <c r="W22" i="31" s="1"/>
  <c r="W23" i="31" s="1"/>
  <c r="W55" i="32"/>
  <c r="V45" i="33"/>
  <c r="V56" i="30"/>
  <c r="V31" i="33"/>
  <c r="V33" i="33" s="1"/>
  <c r="W27" i="32"/>
  <c r="V24" i="33"/>
  <c r="V26" i="33" s="1"/>
  <c r="W40" i="32"/>
  <c r="W8" i="32" l="1"/>
  <c r="V35" i="33"/>
  <c r="V39" i="33" s="1"/>
  <c r="W59" i="32"/>
  <c r="W66" i="32" s="1"/>
  <c r="W13" i="32" s="1"/>
  <c r="W23" i="33"/>
  <c r="V47" i="33"/>
  <c r="V49" i="33" s="1"/>
  <c r="W29" i="29"/>
  <c r="W41" i="30"/>
  <c r="W31" i="33" s="1"/>
  <c r="W33" i="33" s="1"/>
  <c r="W15" i="32" l="1"/>
  <c r="W21" i="32" s="1"/>
  <c r="W29" i="32" s="1"/>
  <c r="W34" i="32" s="1"/>
  <c r="U4" i="38" s="1"/>
  <c r="U6" i="38" s="1"/>
  <c r="W43" i="30"/>
  <c r="W48" i="30" s="1"/>
  <c r="W32" i="29"/>
  <c r="C32" i="29" s="1"/>
  <c r="W33" i="29"/>
  <c r="V33" i="29" s="1"/>
  <c r="U33" i="29" s="1"/>
  <c r="T33" i="29" s="1"/>
  <c r="S33" i="29" s="1"/>
  <c r="R33" i="29" s="1"/>
  <c r="Q33" i="29" s="1"/>
  <c r="P33" i="29" s="1"/>
  <c r="O33" i="29" s="1"/>
  <c r="N33" i="29" s="1"/>
  <c r="M33" i="29" s="1"/>
  <c r="L33" i="29" s="1"/>
  <c r="K33" i="29" s="1"/>
  <c r="J33" i="29" s="1"/>
  <c r="I33" i="29" s="1"/>
  <c r="H33" i="29" s="1"/>
  <c r="G33" i="29" s="1"/>
  <c r="F33" i="29" s="1"/>
  <c r="E33" i="29" s="1"/>
  <c r="D33" i="29" s="1"/>
  <c r="W38" i="32" l="1"/>
  <c r="W43" i="32" s="1"/>
  <c r="W24" i="33" s="1"/>
  <c r="W26" i="33" s="1"/>
  <c r="W35" i="33" s="1"/>
  <c r="W39" i="33" s="1"/>
  <c r="C33" i="29"/>
  <c r="W56" i="30"/>
  <c r="W45" i="33"/>
  <c r="W47" i="33" s="1"/>
  <c r="W49" i="33" l="1"/>
  <c r="G38" i="16" l="1"/>
  <c r="F38" i="16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C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P100" i="12"/>
  <c r="Q100" i="12"/>
  <c r="R100" i="12"/>
  <c r="S100" i="12"/>
  <c r="T100" i="12"/>
  <c r="U100" i="12"/>
  <c r="V100" i="12"/>
  <c r="W100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W105" i="12"/>
  <c r="F28" i="4"/>
  <c r="G28" i="4"/>
  <c r="H28" i="4"/>
  <c r="I28" i="4"/>
  <c r="J28" i="4"/>
  <c r="K28" i="4"/>
  <c r="L28" i="4"/>
  <c r="M28" i="4"/>
  <c r="N28" i="4"/>
  <c r="O28" i="4"/>
  <c r="F32" i="4"/>
  <c r="G32" i="4"/>
  <c r="H32" i="4"/>
  <c r="I32" i="4"/>
  <c r="J32" i="4"/>
  <c r="K32" i="4"/>
  <c r="L32" i="4"/>
  <c r="M32" i="4"/>
  <c r="N32" i="4"/>
  <c r="O32" i="4"/>
  <c r="E11" i="24"/>
  <c r="E13" i="24"/>
  <c r="E15" i="24"/>
  <c r="E17" i="2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W11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W19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D22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W26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D72" i="18"/>
  <c r="E72" i="18"/>
  <c r="D73" i="18"/>
  <c r="D74" i="18"/>
  <c r="D77" i="18"/>
  <c r="D78" i="18"/>
  <c r="D79" i="18"/>
  <c r="D81" i="18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Y22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Y23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Y24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Y26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Y28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C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</calcChain>
</file>

<file path=xl/comments1.xml><?xml version="1.0" encoding="utf-8"?>
<comments xmlns="http://schemas.openxmlformats.org/spreadsheetml/2006/main">
  <authors>
    <author>AB</author>
  </authors>
  <commentList>
    <comment ref="I45" authorId="0">
      <text>
        <r>
          <rPr>
            <b/>
            <sz val="9"/>
            <color indexed="81"/>
            <rFont val="Tahoma"/>
            <family val="2"/>
          </rPr>
          <t>AB:</t>
        </r>
        <r>
          <rPr>
            <sz val="9"/>
            <color indexed="81"/>
            <rFont val="Tahoma"/>
            <family val="2"/>
          </rPr>
          <t xml:space="preserve">
Pre-nursery polybags, 6 x 9 inches, $ 4 cents at nursery, main nursery 15 x 20 inches, $ 30 cents CIF nursery</t>
        </r>
      </text>
    </comment>
  </commentList>
</comments>
</file>

<file path=xl/comments2.xml><?xml version="1.0" encoding="utf-8"?>
<comments xmlns="http://schemas.openxmlformats.org/spreadsheetml/2006/main">
  <authors>
    <author>AB</author>
  </authors>
  <commentList>
    <comment ref="G43" authorId="0">
      <text>
        <r>
          <rPr>
            <b/>
            <sz val="9"/>
            <color indexed="81"/>
            <rFont val="Tahoma"/>
            <family val="2"/>
          </rPr>
          <t>AB:</t>
        </r>
        <r>
          <rPr>
            <sz val="9"/>
            <color indexed="81"/>
            <rFont val="Tahoma"/>
            <family val="2"/>
          </rPr>
          <t xml:space="preserve">
seedlings at cost ex-nursery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AB:</t>
        </r>
        <r>
          <rPr>
            <sz val="9"/>
            <color indexed="81"/>
            <rFont val="Tahoma"/>
            <family val="2"/>
          </rPr>
          <t xml:space="preserve">
Wire collar or plastic bucket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AB:</t>
        </r>
        <r>
          <rPr>
            <sz val="9"/>
            <color indexed="81"/>
            <rFont val="Tahoma"/>
            <family val="2"/>
          </rPr>
          <t xml:space="preserve">
seedlings at cost ex-nursery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AB:</t>
        </r>
        <r>
          <rPr>
            <sz val="9"/>
            <color indexed="81"/>
            <rFont val="Tahoma"/>
            <family val="2"/>
          </rPr>
          <t xml:space="preserve">
Wire collar or plastic bucket</t>
        </r>
      </text>
    </comment>
  </commentList>
</comments>
</file>

<file path=xl/sharedStrings.xml><?xml version="1.0" encoding="utf-8"?>
<sst xmlns="http://schemas.openxmlformats.org/spreadsheetml/2006/main" count="1566" uniqueCount="597">
  <si>
    <t>Labour</t>
  </si>
  <si>
    <t>Materials</t>
  </si>
  <si>
    <t>Task</t>
  </si>
  <si>
    <t>Description</t>
  </si>
  <si>
    <t>Eqt/Contract</t>
  </si>
  <si>
    <t>Fertiliser Programme</t>
  </si>
  <si>
    <t>Area Statement</t>
  </si>
  <si>
    <t xml:space="preserve">Development = months from planting to first harvest, </t>
  </si>
  <si>
    <t>Mature = years from first harvest to replanting</t>
  </si>
  <si>
    <t>Glyphosate</t>
  </si>
  <si>
    <t>Totals</t>
  </si>
  <si>
    <t>Yield Profile</t>
  </si>
  <si>
    <t>Plant Year</t>
  </si>
  <si>
    <t>Fertilising</t>
  </si>
  <si>
    <t>Weeks after transplanting</t>
  </si>
  <si>
    <t>Fertiliser Application</t>
  </si>
  <si>
    <t>t FFB/ha</t>
  </si>
  <si>
    <t>Felling and Windrowing</t>
  </si>
  <si>
    <t>Cover crop planting</t>
  </si>
  <si>
    <t>Pueraria</t>
  </si>
  <si>
    <t>Dozer</t>
  </si>
  <si>
    <t>Seedlings</t>
  </si>
  <si>
    <t>Rat protection</t>
  </si>
  <si>
    <t>Palm circle weeding</t>
  </si>
  <si>
    <t>Interrow weeding</t>
  </si>
  <si>
    <t>Path formation</t>
  </si>
  <si>
    <t>Drainage</t>
  </si>
  <si>
    <t>Glyphosate/2,4-D</t>
  </si>
  <si>
    <t>Planting Year +1</t>
  </si>
  <si>
    <t>Planting Year +2</t>
  </si>
  <si>
    <t>Headman</t>
  </si>
  <si>
    <t>Roads</t>
  </si>
  <si>
    <t>Pruning</t>
  </si>
  <si>
    <t>Pest and diseases</t>
  </si>
  <si>
    <t>Ablation</t>
  </si>
  <si>
    <t>General Transport</t>
  </si>
  <si>
    <t>MD/ha</t>
  </si>
  <si>
    <t>Rounds</t>
  </si>
  <si>
    <t>Palm Supplying</t>
  </si>
  <si>
    <t>Planting Year +3 (6 months: assumes mature from July)</t>
  </si>
  <si>
    <t>Rate</t>
  </si>
  <si>
    <t>no/ha</t>
  </si>
  <si>
    <t>kg/ha</t>
  </si>
  <si>
    <t>l/ha/round</t>
  </si>
  <si>
    <t>total MD</t>
  </si>
  <si>
    <t>Rates:</t>
  </si>
  <si>
    <t>Headmen</t>
  </si>
  <si>
    <t>Supervisors</t>
  </si>
  <si>
    <t>per litre</t>
  </si>
  <si>
    <t>Rat Protection</t>
  </si>
  <si>
    <t>per kg</t>
  </si>
  <si>
    <t>Fertiliser 15:15:15</t>
  </si>
  <si>
    <t>per tonne</t>
  </si>
  <si>
    <t>Grader</t>
  </si>
  <si>
    <t>Compactor</t>
  </si>
  <si>
    <t>Rock phosphate</t>
  </si>
  <si>
    <t>kg/seedlimg</t>
  </si>
  <si>
    <t>per seedling</t>
  </si>
  <si>
    <t>Boundary maintenance</t>
  </si>
  <si>
    <t>Survey and tracing</t>
  </si>
  <si>
    <t>hrs/ha</t>
  </si>
  <si>
    <t>Excavator/dozer</t>
  </si>
  <si>
    <t>Ripping/harrowing</t>
  </si>
  <si>
    <t>Pueraria seed</t>
  </si>
  <si>
    <t>Palm lining (incl peg cutting)</t>
  </si>
  <si>
    <t>Road formation</t>
  </si>
  <si>
    <t>Culvert pipes</t>
  </si>
  <si>
    <t>each completed set</t>
  </si>
  <si>
    <t>Cover/interrow weeding (hand)</t>
  </si>
  <si>
    <t>Seedling loading and transport</t>
  </si>
  <si>
    <t>Tractor/trailer</t>
  </si>
  <si>
    <t>Palm hole/carry/plant</t>
  </si>
  <si>
    <t>N/ha</t>
  </si>
  <si>
    <t>Chemicals</t>
  </si>
  <si>
    <t>labour cost</t>
  </si>
  <si>
    <t>Loose tools</t>
  </si>
  <si>
    <t>Mature Plantings</t>
  </si>
  <si>
    <t>Harvesting and Collection</t>
  </si>
  <si>
    <t>Palm circle and path spraying</t>
  </si>
  <si>
    <t>Drain maintenance</t>
  </si>
  <si>
    <t>Road maintenance</t>
  </si>
  <si>
    <t>Interrow spraying</t>
  </si>
  <si>
    <t>Interrow hand weeding</t>
  </si>
  <si>
    <t>Leaf sampling</t>
  </si>
  <si>
    <t>Post-pruning raking</t>
  </si>
  <si>
    <t>PY+3</t>
  </si>
  <si>
    <t>Total</t>
  </si>
  <si>
    <t>LF/kg</t>
  </si>
  <si>
    <t>Harvesting tools</t>
  </si>
  <si>
    <t>Harvesting rates per bunch</t>
  </si>
  <si>
    <t>per tonne FFB</t>
  </si>
  <si>
    <t>cutter/carrier MD</t>
  </si>
  <si>
    <t>Fertiliser 23:10:5 + TE</t>
  </si>
  <si>
    <t>NEW PLANTING HECTARAGE</t>
  </si>
  <si>
    <t>TOTAL (HA)</t>
  </si>
  <si>
    <t>Annual Planting (HA)</t>
  </si>
  <si>
    <t>mt FFB/ha new plantings</t>
  </si>
  <si>
    <t>FFB new plantings</t>
  </si>
  <si>
    <t>TOTAL FFB (mt)</t>
  </si>
  <si>
    <t xml:space="preserve">FFB PRODUCTION </t>
  </si>
  <si>
    <t>FIELD MAINTENANCE</t>
  </si>
  <si>
    <t>Equipment</t>
  </si>
  <si>
    <t>Plantation skilled worker</t>
  </si>
  <si>
    <t>Month</t>
  </si>
  <si>
    <t>per FFB</t>
  </si>
  <si>
    <t>M/day</t>
  </si>
  <si>
    <t>Supervision</t>
  </si>
  <si>
    <t>Material</t>
  </si>
  <si>
    <t>New Plantings</t>
  </si>
  <si>
    <t>Plantation unskilled worker</t>
  </si>
  <si>
    <t>Mature</t>
  </si>
  <si>
    <t>Harvesting costs</t>
  </si>
  <si>
    <t>Cutter/carrier cost per mt</t>
  </si>
  <si>
    <t>New Planting</t>
  </si>
  <si>
    <t>Total Cost</t>
  </si>
  <si>
    <t>hectares</t>
  </si>
  <si>
    <t>Inflation factor</t>
  </si>
  <si>
    <t>FIRR</t>
  </si>
  <si>
    <t>numbers of seed</t>
  </si>
  <si>
    <t>Delivered</t>
  </si>
  <si>
    <t>Poor seed discarded</t>
  </si>
  <si>
    <t>Planted in pre-nursery</t>
  </si>
  <si>
    <t>Culled at 3 months</t>
  </si>
  <si>
    <t>Planted in main nursery</t>
  </si>
  <si>
    <t>Culled from main nursery</t>
  </si>
  <si>
    <t>Planted in field</t>
  </si>
  <si>
    <t>Field</t>
  </si>
  <si>
    <t>Land Clearing by contractor</t>
  </si>
  <si>
    <t>Hand weeding (slashing) by contractor</t>
  </si>
  <si>
    <t>Weeding (chemical) labour and chemical cost (glyphosate)</t>
  </si>
  <si>
    <t>Mill</t>
  </si>
  <si>
    <t>Turbine and genset</t>
  </si>
  <si>
    <t>Buildings and civils to completion</t>
  </si>
  <si>
    <t>Denomination</t>
  </si>
  <si>
    <t>Amount pre-approved</t>
  </si>
  <si>
    <t>Interest</t>
  </si>
  <si>
    <t>Working Capital</t>
  </si>
  <si>
    <t>Days</t>
  </si>
  <si>
    <t>Debtors</t>
  </si>
  <si>
    <t>Creditors</t>
  </si>
  <si>
    <t>Material inputs</t>
  </si>
  <si>
    <t>Depreciation Rates</t>
  </si>
  <si>
    <t>Land</t>
  </si>
  <si>
    <t>Buildings</t>
  </si>
  <si>
    <t>Plant &amp; Machinery</t>
  </si>
  <si>
    <t>Vehicles</t>
  </si>
  <si>
    <t>Furniture, Fittings &amp; Equipment</t>
  </si>
  <si>
    <t>Corporation tax rate</t>
  </si>
  <si>
    <t>Exit multiple</t>
  </si>
  <si>
    <t xml:space="preserve">Capex buildings </t>
  </si>
  <si>
    <t>New Plantations</t>
  </si>
  <si>
    <t>HA</t>
  </si>
  <si>
    <t>MT</t>
  </si>
  <si>
    <t>Total Plantations</t>
  </si>
  <si>
    <t>Plantable seedlings per Ha</t>
  </si>
  <si>
    <t xml:space="preserve">Grace period </t>
  </si>
  <si>
    <t>Opening Balance</t>
  </si>
  <si>
    <t>Drawdowns</t>
  </si>
  <si>
    <t>Scheduled Repayments</t>
  </si>
  <si>
    <t>Closing Balance</t>
  </si>
  <si>
    <t>Interest Rate</t>
  </si>
  <si>
    <t>Interest Charge</t>
  </si>
  <si>
    <t>Interest Paid</t>
  </si>
  <si>
    <t>Cum Interest Accrued</t>
  </si>
  <si>
    <t>NBV b/f</t>
  </si>
  <si>
    <t>Additions</t>
  </si>
  <si>
    <t>Disposals</t>
  </si>
  <si>
    <t>Fixed Assets</t>
  </si>
  <si>
    <t>Depreciation</t>
  </si>
  <si>
    <t>NBV c/f</t>
  </si>
  <si>
    <t>Fixed Asset Depreciation</t>
  </si>
  <si>
    <t xml:space="preserve">Capex - Mill ponds </t>
  </si>
  <si>
    <t>Heavy Machinery</t>
  </si>
  <si>
    <t>Development Costs Amortised over 20 yrs</t>
  </si>
  <si>
    <t xml:space="preserve">Development Costs  </t>
  </si>
  <si>
    <t>Amortidation</t>
  </si>
  <si>
    <t>Total Interest</t>
  </si>
  <si>
    <t>Total Depreciation</t>
  </si>
  <si>
    <t>Total Amortisation</t>
  </si>
  <si>
    <t>Total repayments</t>
  </si>
  <si>
    <t>Production Costs</t>
  </si>
  <si>
    <t>Stock (Increase)/Decrease</t>
  </si>
  <si>
    <t>Cost of Sales</t>
  </si>
  <si>
    <t>Gross Profit</t>
  </si>
  <si>
    <t>Net Profit Before Interest &amp; Tax</t>
  </si>
  <si>
    <t>Interest Charges</t>
  </si>
  <si>
    <t>Exchange (Profit)/Loss</t>
  </si>
  <si>
    <t>(Profit)/Loss on Sale of Assets</t>
  </si>
  <si>
    <t>Investment Expenses</t>
  </si>
  <si>
    <t>Profit Before Tax</t>
  </si>
  <si>
    <t>Tax</t>
  </si>
  <si>
    <t>Profit After Tax</t>
  </si>
  <si>
    <t>Dividends</t>
  </si>
  <si>
    <t>Other Reserve Movements</t>
  </si>
  <si>
    <t>Transfer to Distributable Reserves</t>
  </si>
  <si>
    <t>Gross profit/sales ratio</t>
  </si>
  <si>
    <t>kg/palm/round</t>
  </si>
  <si>
    <t xml:space="preserve">                         - Maintenance</t>
  </si>
  <si>
    <t xml:space="preserve">                         - Harvesting</t>
  </si>
  <si>
    <t>Field Maintenace Costs</t>
  </si>
  <si>
    <t>Field Harvesting Costs</t>
  </si>
  <si>
    <t>Cummulative Reserves</t>
  </si>
  <si>
    <t>Note: for Tax calculation</t>
  </si>
  <si>
    <t>Transport</t>
  </si>
  <si>
    <t>Material inputs stock</t>
  </si>
  <si>
    <t>Net Creditors</t>
  </si>
  <si>
    <t>Current Assets</t>
  </si>
  <si>
    <t>Trade Debtors</t>
  </si>
  <si>
    <t>Total Current Assets</t>
  </si>
  <si>
    <t>Current Liabilities</t>
  </si>
  <si>
    <t>Trade Creditors and Accruals</t>
  </si>
  <si>
    <t>Taxation</t>
  </si>
  <si>
    <t>Total Current Liabilities</t>
  </si>
  <si>
    <t>Net Current Assets</t>
  </si>
  <si>
    <t>Other Long Term Liabilities</t>
  </si>
  <si>
    <t>Net Assets</t>
  </si>
  <si>
    <t>Financed by</t>
  </si>
  <si>
    <t>Share Capital</t>
  </si>
  <si>
    <t>Profit and Loss</t>
  </si>
  <si>
    <t>Shareholders Funds</t>
  </si>
  <si>
    <t>Plantation Development</t>
  </si>
  <si>
    <t>Total Fixed Assets</t>
  </si>
  <si>
    <t>Balance Sheet</t>
  </si>
  <si>
    <t xml:space="preserve">1-8 km </t>
  </si>
  <si>
    <t xml:space="preserve">9-15 km </t>
  </si>
  <si>
    <t xml:space="preserve">16-20km </t>
  </si>
  <si>
    <t xml:space="preserve">FFB loading </t>
  </si>
  <si>
    <t xml:space="preserve">Loose fruit loading </t>
  </si>
  <si>
    <t>Transport to Mill</t>
  </si>
  <si>
    <t>MD/HA</t>
  </si>
  <si>
    <t>rounds</t>
  </si>
  <si>
    <t>Palm circle &amp; path spraying     lt/ha/rd</t>
  </si>
  <si>
    <t>Fertilising                                    kg/palm/rd</t>
  </si>
  <si>
    <t>Loose tools                                  % labour</t>
  </si>
  <si>
    <t>Labour &amp; Supervision</t>
  </si>
  <si>
    <t xml:space="preserve">kms from </t>
  </si>
  <si>
    <t>mill</t>
  </si>
  <si>
    <t>Palm  - Rat protection                collar/palm</t>
  </si>
  <si>
    <t xml:space="preserve">             Rock phosphate             kg/palm</t>
  </si>
  <si>
    <t>Interrow spraying                       lt/ha/rd</t>
  </si>
  <si>
    <t>Pest and diseases                     N/HA</t>
  </si>
  <si>
    <t>Tractor</t>
  </si>
  <si>
    <t xml:space="preserve">General Transport                     </t>
  </si>
  <si>
    <t>Plant Year +1</t>
  </si>
  <si>
    <t>Palm supplying</t>
  </si>
  <si>
    <t>Plant Year +2</t>
  </si>
  <si>
    <t>Discount Rate</t>
  </si>
  <si>
    <t>Operating Cashflow</t>
  </si>
  <si>
    <t>Less</t>
  </si>
  <si>
    <t>Residual Value</t>
  </si>
  <si>
    <t>Cash</t>
  </si>
  <si>
    <t>Company Valuation</t>
  </si>
  <si>
    <t>Cost of Equity</t>
  </si>
  <si>
    <t>Dividend Income</t>
  </si>
  <si>
    <t>ROE</t>
  </si>
  <si>
    <t>Adjusted Equity</t>
  </si>
  <si>
    <t>Total Equity</t>
  </si>
  <si>
    <t>Debt</t>
  </si>
  <si>
    <t>Financial Internal Rate of Return</t>
  </si>
  <si>
    <t>Exit Multiple</t>
  </si>
  <si>
    <t xml:space="preserve">Return on Equity </t>
  </si>
  <si>
    <t>Cash Flow &amp; Working Capital Movements</t>
  </si>
  <si>
    <t>Trading Cash Inflow/(Outflow)</t>
  </si>
  <si>
    <t>Operating Cash Inflow/(Outflow)</t>
  </si>
  <si>
    <t>Cash Flow before Financial Expenses</t>
  </si>
  <si>
    <t>Cash Flow before dividends</t>
  </si>
  <si>
    <t>Total Dividends Paid</t>
    <phoneticPr fontId="6" type="noConversion"/>
  </si>
  <si>
    <t>Net Cash Inflow/(Outflow)</t>
  </si>
  <si>
    <t>Opening Cash Balance</t>
  </si>
  <si>
    <t>Exchange Profit/(Loss)</t>
  </si>
  <si>
    <t>Closing Cash Balance</t>
  </si>
  <si>
    <t>Working Capital Inflows/(Outflows)</t>
  </si>
  <si>
    <t>Product Stocks &amp; Work in Progress</t>
  </si>
  <si>
    <t>Consumable Stores</t>
  </si>
  <si>
    <t>Growing Crops</t>
  </si>
  <si>
    <t>Other Debtors</t>
  </si>
  <si>
    <t>Seasonal Working Capital Account</t>
  </si>
  <si>
    <t>Current Assets Inflows/(Outflows)</t>
  </si>
  <si>
    <t>Trade Creditors &amp; Accruals</t>
  </si>
  <si>
    <t>Investor Current Account</t>
  </si>
  <si>
    <t>Current Liabilities Movement</t>
  </si>
  <si>
    <t>Total Working Capital Inflows/(Outflows)</t>
  </si>
  <si>
    <t>Constant (Real Terms)</t>
  </si>
  <si>
    <t>Less  Fixed Asset Expenditure</t>
  </si>
  <si>
    <t xml:space="preserve">          Development Expenditure</t>
  </si>
  <si>
    <t xml:space="preserve">          Contingency</t>
  </si>
  <si>
    <t xml:space="preserve">        Equity Subscription </t>
  </si>
  <si>
    <t>Less  Tax Payments</t>
  </si>
  <si>
    <t>Financial Statements</t>
  </si>
  <si>
    <t>Physical Data</t>
  </si>
  <si>
    <t>Mature Area (Ha)</t>
  </si>
  <si>
    <t>Profit &amp; Loss</t>
  </si>
  <si>
    <t>Revenue  (net of distribution)</t>
  </si>
  <si>
    <t>Overheads &amp; Depreciation</t>
  </si>
  <si>
    <t>Profit before Interest &amp; Tax</t>
  </si>
  <si>
    <t>Profit before Tax</t>
  </si>
  <si>
    <t>Profit after Tax</t>
  </si>
  <si>
    <t>Cashflow Statement</t>
  </si>
  <si>
    <t>Equity Drawdowns</t>
  </si>
  <si>
    <t>Long Term Loan Drawdowns</t>
  </si>
  <si>
    <t>Other Income</t>
  </si>
  <si>
    <t>Net Cash Movement</t>
  </si>
  <si>
    <t>Net Fixed Assets</t>
  </si>
  <si>
    <t>Current Assets - Cash</t>
  </si>
  <si>
    <t>Current Assets - Other</t>
  </si>
  <si>
    <t xml:space="preserve">Long Term Loan </t>
  </si>
  <si>
    <t>Financed By:</t>
  </si>
  <si>
    <t>Retained Profits/Losses</t>
  </si>
  <si>
    <t>Project Cost</t>
  </si>
  <si>
    <t>Field Development</t>
  </si>
  <si>
    <t>Operational cash</t>
  </si>
  <si>
    <t>Total Investment</t>
  </si>
  <si>
    <t>Investment</t>
  </si>
  <si>
    <t>Total Loan</t>
  </si>
  <si>
    <t>Total External Investment</t>
  </si>
  <si>
    <t>Total Funding</t>
  </si>
  <si>
    <t>Add  Depreciation</t>
  </si>
  <si>
    <t xml:space="preserve">          Investment Expenses</t>
  </si>
  <si>
    <t xml:space="preserve">         Working Capital Movement</t>
  </si>
  <si>
    <t xml:space="preserve">         Capital Expenditure</t>
  </si>
  <si>
    <t>Less  Long Term Debt Servicing</t>
  </si>
  <si>
    <t xml:space="preserve">           Loan Repayments</t>
  </si>
  <si>
    <t xml:space="preserve">           Tax Payments</t>
  </si>
  <si>
    <t xml:space="preserve">            Dividends</t>
  </si>
  <si>
    <t>Funded By</t>
  </si>
  <si>
    <t>Main nursery spacing</t>
  </si>
  <si>
    <t>90 x 90</t>
  </si>
  <si>
    <t>cms</t>
  </si>
  <si>
    <t>per ha</t>
  </si>
  <si>
    <t>Additional area for infrastructure/pre-nursery</t>
  </si>
  <si>
    <t>seedlings per Field Ha</t>
  </si>
  <si>
    <t>Doubletons</t>
  </si>
  <si>
    <t>Nursery Activities</t>
  </si>
  <si>
    <t>Labour (seedlings per man day)</t>
  </si>
  <si>
    <t xml:space="preserve">Materials </t>
  </si>
  <si>
    <t>Pre-nursery</t>
  </si>
  <si>
    <t>Main Nursery</t>
  </si>
  <si>
    <t>Equipment (hr)</t>
  </si>
  <si>
    <t>Shade construction and management</t>
  </si>
  <si>
    <t>Lining</t>
  </si>
  <si>
    <t>Bag filling</t>
  </si>
  <si>
    <t>Placement and topping</t>
  </si>
  <si>
    <t>Planting</t>
  </si>
  <si>
    <t>Mulching</t>
  </si>
  <si>
    <t>Manual weeding</t>
  </si>
  <si>
    <t>Pests and Diseases: hand picking</t>
  </si>
  <si>
    <t>Pests and Diseases: spraying</t>
  </si>
  <si>
    <t>Culling</t>
  </si>
  <si>
    <t>Loading &amp; Dispatch</t>
  </si>
  <si>
    <t>General Sanitation (men per 100,000 seedlings)</t>
  </si>
  <si>
    <t>P&amp;D and Growth monitoring</t>
  </si>
  <si>
    <t xml:space="preserve">Nursery Tools </t>
  </si>
  <si>
    <t>Nursery Capital Costs</t>
  </si>
  <si>
    <t>per 100,000 seed</t>
  </si>
  <si>
    <t>Irrigation cost (Sumisansui) delivered to site</t>
  </si>
  <si>
    <t>per nursery ha</t>
  </si>
  <si>
    <t>each</t>
  </si>
  <si>
    <t>g/seedling</t>
  </si>
  <si>
    <t>Summary Financials</t>
  </si>
  <si>
    <t>Inflation rate</t>
  </si>
  <si>
    <t>Loans and Depreciation</t>
  </si>
  <si>
    <t>Key Performance Indicators</t>
  </si>
  <si>
    <t>Field Operations</t>
  </si>
  <si>
    <t>Field Assumptions</t>
  </si>
  <si>
    <t>General Assumptions</t>
  </si>
  <si>
    <t xml:space="preserve">                   - Maintenance</t>
  </si>
  <si>
    <t xml:space="preserve">                   - Harvesting</t>
  </si>
  <si>
    <t>Long Term Loans</t>
  </si>
  <si>
    <t>Field Costs  - Development</t>
  </si>
  <si>
    <t>Germination losses</t>
  </si>
  <si>
    <t xml:space="preserve">Germinated seed </t>
  </si>
  <si>
    <t>Motor Bikes</t>
  </si>
  <si>
    <t xml:space="preserve">km from </t>
  </si>
  <si>
    <t>Trading, Profit and Loss Account</t>
  </si>
  <si>
    <t>Return on Investment</t>
  </si>
  <si>
    <t>US dollars</t>
  </si>
  <si>
    <t>Payback years</t>
  </si>
  <si>
    <t xml:space="preserve">         Other Non Cash Items</t>
  </si>
  <si>
    <t>Less  Investment Expenses</t>
  </si>
  <si>
    <t xml:space="preserve">         Working Capital Inflow/(Outflow)</t>
  </si>
  <si>
    <t>Peak Finance years</t>
  </si>
  <si>
    <t xml:space="preserve">Project Cost Summary </t>
  </si>
  <si>
    <t>Cashflow after finance costs</t>
  </si>
  <si>
    <t>Field Costs     - Development</t>
  </si>
  <si>
    <t>Loan Repayments</t>
  </si>
  <si>
    <t>cash (overdraft)</t>
  </si>
  <si>
    <t>Germination Equipment</t>
  </si>
  <si>
    <t>Payback (years)</t>
  </si>
  <si>
    <t>External funding requirement (millions)</t>
  </si>
  <si>
    <t>Loan (millions)</t>
  </si>
  <si>
    <t>FIRR (constant terms, pre-tax, pre-finance, incl residual value)</t>
  </si>
  <si>
    <t>Average price per seed delivered at nursery</t>
  </si>
  <si>
    <t>$</t>
  </si>
  <si>
    <t xml:space="preserve">Operational surplus </t>
  </si>
  <si>
    <t>Plantation harvester</t>
  </si>
  <si>
    <t>Plantation supervisor</t>
  </si>
  <si>
    <t>kg/seedling</t>
  </si>
  <si>
    <t>US$</t>
  </si>
  <si>
    <t>Sensitivity</t>
  </si>
  <si>
    <t>Total Revenue &amp; Costs</t>
  </si>
  <si>
    <t>times free cash flow</t>
  </si>
  <si>
    <t>Outgrowers</t>
  </si>
  <si>
    <t>Total Maintenance Costs</t>
  </si>
  <si>
    <t>FFB Sales</t>
  </si>
  <si>
    <t>Amortisation</t>
  </si>
  <si>
    <t>FFB stocks</t>
  </si>
  <si>
    <t>Liberia Outgrower project: Nursery Assumptions</t>
  </si>
  <si>
    <t>Free seed to cover transit</t>
  </si>
  <si>
    <t>pregerminated</t>
  </si>
  <si>
    <t>pinched out</t>
  </si>
  <si>
    <t>Balance incl doubletons</t>
  </si>
  <si>
    <t>Good seedlings out of nursery</t>
  </si>
  <si>
    <t>Transport Monrovia to nursery</t>
  </si>
  <si>
    <t>seedlings</t>
  </si>
  <si>
    <t>Land clearing (machine hr/ha)</t>
  </si>
  <si>
    <t>Land leveling (machine hr/ha)</t>
  </si>
  <si>
    <t>not used</t>
  </si>
  <si>
    <t>Pre-nursery shade housing - not used</t>
  </si>
  <si>
    <t>n/a</t>
  </si>
  <si>
    <t>no shade used in pre-nursery</t>
  </si>
  <si>
    <t>Field area (ha)</t>
  </si>
  <si>
    <t>Borehole</t>
  </si>
  <si>
    <t>River source</t>
  </si>
  <si>
    <t>Pump, reservoirs and piping</t>
  </si>
  <si>
    <t>Fertiliser Type</t>
  </si>
  <si>
    <t>Agroblen</t>
  </si>
  <si>
    <t>Plant out at 12 months</t>
  </si>
  <si>
    <t>Planting Year (PY)</t>
  </si>
  <si>
    <t>Planting Year (includes all land prep and assumes average planting date end-June in Liberia)</t>
  </si>
  <si>
    <t>TSP</t>
  </si>
  <si>
    <t>11:10:18:2.5</t>
  </si>
  <si>
    <t>$/ha</t>
  </si>
  <si>
    <t>Year after Planting Year (PY+1)</t>
  </si>
  <si>
    <t>2 Years after Planting Year (PY+2)</t>
  </si>
  <si>
    <t>3 Years after Planting Year (PY+3)</t>
  </si>
  <si>
    <t>Harvesting</t>
  </si>
  <si>
    <t>Liberia Outgrower project:  Mature Field Assumptions</t>
  </si>
  <si>
    <t>Yield Profie</t>
  </si>
  <si>
    <t>Year</t>
  </si>
  <si>
    <t>Months</t>
  </si>
  <si>
    <t>t/ha</t>
  </si>
  <si>
    <t>0-6</t>
  </si>
  <si>
    <t>Palm Age</t>
  </si>
  <si>
    <t>kg/bunch</t>
  </si>
  <si>
    <t>Cutter (cents)</t>
  </si>
  <si>
    <t>Carrier (cents)</t>
  </si>
  <si>
    <t>Total Cents)</t>
  </si>
  <si>
    <t>Margin (10%)</t>
  </si>
  <si>
    <t>bunches/tonne</t>
  </si>
  <si>
    <t>$/tonne</t>
  </si>
  <si>
    <t>$ per tonne</t>
  </si>
  <si>
    <t>Fertiliser 11:10:18:2.5</t>
  </si>
  <si>
    <t>Company state pension contribution</t>
  </si>
  <si>
    <t>$/day</t>
  </si>
  <si>
    <t>$/hour</t>
  </si>
  <si>
    <t>$/hectare</t>
  </si>
  <si>
    <t>$/ton/FFB</t>
  </si>
  <si>
    <t>Price Formula</t>
  </si>
  <si>
    <t>x OER</t>
  </si>
  <si>
    <t>Outgrower FFB price at mill ($/t)</t>
  </si>
  <si>
    <t>$/HA</t>
  </si>
  <si>
    <t>Road formation                           culvert seta/ha</t>
  </si>
  <si>
    <t>Cover crop planting                    kg Pureina/ha</t>
  </si>
  <si>
    <t xml:space="preserve">            TSP                                 kg/palm</t>
  </si>
  <si>
    <t xml:space="preserve">            Agroblen                         kg/palm</t>
  </si>
  <si>
    <t xml:space="preserve">Planting Year +3  </t>
  </si>
  <si>
    <t>$/mt</t>
  </si>
  <si>
    <t xml:space="preserve">Total Harvesting Costs </t>
  </si>
  <si>
    <t>Liberia Outgrowers</t>
  </si>
  <si>
    <t>Total Sales US$</t>
  </si>
  <si>
    <t xml:space="preserve">Costs </t>
  </si>
  <si>
    <t xml:space="preserve">Total Costs </t>
  </si>
  <si>
    <t xml:space="preserve">Net flow  </t>
  </si>
  <si>
    <t>USD CIF Liberia ports of Monrovia or Greenville</t>
  </si>
  <si>
    <t>Muriate of Potash (MOP) 370</t>
  </si>
  <si>
    <t>Agroblen 2,037</t>
  </si>
  <si>
    <t>TSP 397</t>
  </si>
  <si>
    <t>Urea 416</t>
  </si>
  <si>
    <t>Compound 15:12:18:2,5 511</t>
  </si>
  <si>
    <t>Compound 11:10:28:2 506</t>
  </si>
  <si>
    <t>Compound 15:15:6:4 381</t>
  </si>
  <si>
    <t>Compound 12:12:17:2 402</t>
  </si>
  <si>
    <t>Kieserite (MgO) 325</t>
  </si>
  <si>
    <t>Liberia Outgrowers (5Ha)</t>
  </si>
  <si>
    <t xml:space="preserve">Total Sales </t>
  </si>
  <si>
    <t>Sime Darby  - PAC</t>
  </si>
  <si>
    <t xml:space="preserve">                   - Zodua</t>
  </si>
  <si>
    <t>GVL            - Tartweh</t>
  </si>
  <si>
    <t xml:space="preserve">                  - Numopoh</t>
  </si>
  <si>
    <t>Company Overheads charge</t>
  </si>
  <si>
    <t>of Direct Costs</t>
  </si>
  <si>
    <t>Company Profit Margin</t>
  </si>
  <si>
    <t>Company Overhead costs recovered</t>
  </si>
  <si>
    <t>Administration profit margin</t>
  </si>
  <si>
    <t>Ha</t>
  </si>
  <si>
    <t>Constant (Real Terms)   US$</t>
  </si>
  <si>
    <t xml:space="preserve">Total Sales Revenue  </t>
  </si>
  <si>
    <t xml:space="preserve">                  - Tartweh</t>
  </si>
  <si>
    <t>GVL            - Sorroken</t>
  </si>
  <si>
    <t xml:space="preserve">                   - Tartweh</t>
  </si>
  <si>
    <t>Switch</t>
  </si>
  <si>
    <t xml:space="preserve">         Development Expenditure</t>
  </si>
  <si>
    <t xml:space="preserve">        Loan Drawdown</t>
  </si>
  <si>
    <t>Loan Repayment</t>
  </si>
  <si>
    <t xml:space="preserve">Loan Interest     </t>
  </si>
  <si>
    <t xml:space="preserve">Add   </t>
  </si>
  <si>
    <t xml:space="preserve">Loan Repayment </t>
  </si>
  <si>
    <t xml:space="preserve">Loan Interest    </t>
  </si>
  <si>
    <t xml:space="preserve">Lender </t>
  </si>
  <si>
    <t>of Revenue</t>
  </si>
  <si>
    <t>Add   Amortisation</t>
  </si>
  <si>
    <t xml:space="preserve">Loan Repayments </t>
  </si>
  <si>
    <t>Self Generated Funds/(losses)</t>
  </si>
  <si>
    <t>Peak Finance years after finance</t>
  </si>
  <si>
    <t>7-18</t>
  </si>
  <si>
    <t>19-30</t>
  </si>
  <si>
    <t>31-42</t>
  </si>
  <si>
    <t xml:space="preserve">Drawdown </t>
  </si>
  <si>
    <t>Repayment terms</t>
  </si>
  <si>
    <t xml:space="preserve">Buildings </t>
  </si>
  <si>
    <t>Capex - Mill</t>
  </si>
  <si>
    <t>Buildings and Mill</t>
  </si>
  <si>
    <t>Debt Service Loan</t>
  </si>
  <si>
    <t xml:space="preserve">DSCR </t>
  </si>
  <si>
    <t>Palm Elit (CIRAD)</t>
  </si>
  <si>
    <t>Area required</t>
  </si>
  <si>
    <t>Seedlings per ha</t>
  </si>
  <si>
    <t>Hectares planted from nursery</t>
  </si>
  <si>
    <t>Seedlings total per main nursery</t>
  </si>
  <si>
    <t>Used as supplies for previous year's plantings</t>
  </si>
  <si>
    <t>Nursery Area</t>
  </si>
  <si>
    <t>Seed Cost</t>
  </si>
  <si>
    <t>Pre-germinated oil palm seed cost CIF Liberia</t>
  </si>
  <si>
    <t>for 500ha community farm</t>
  </si>
  <si>
    <t>Seed Order and Nursery Losses for 1 ha planting in field</t>
  </si>
  <si>
    <t>for 500ha planting</t>
  </si>
  <si>
    <t>Seed Order</t>
  </si>
  <si>
    <t>Seed cost</t>
  </si>
  <si>
    <t>USD</t>
  </si>
  <si>
    <t xml:space="preserve">($1,250 per 40ft container holding 20 tonnes) </t>
  </si>
  <si>
    <t>Internal transport from port to plantation</t>
  </si>
  <si>
    <t>Nursery Manager</t>
  </si>
  <si>
    <t>Irrigation</t>
  </si>
  <si>
    <t>Pre-germinated seed</t>
  </si>
  <si>
    <t>Plantation Divisional Manager</t>
  </si>
  <si>
    <t>Spot contingency Kieserite, Urea on 30%</t>
  </si>
  <si>
    <t>10% contingency for PH, sick etc</t>
  </si>
  <si>
    <t>Average FFB Transport cost</t>
  </si>
  <si>
    <t>10% oh'd allowance</t>
  </si>
  <si>
    <t>ex-nursery</t>
  </si>
  <si>
    <t>Headmen/Technicians</t>
  </si>
  <si>
    <t xml:space="preserve">Loan Drawdown (manual to balance) </t>
  </si>
  <si>
    <t>Repayments</t>
  </si>
  <si>
    <t>Quotation received 5th May 2016 (GVL)</t>
  </si>
  <si>
    <t>Labour Costs - Development</t>
  </si>
  <si>
    <t xml:space="preserve">                    - Maintenance</t>
  </si>
  <si>
    <t xml:space="preserve">                    - Harvesting</t>
  </si>
  <si>
    <t>Labour Days per Ha - Development</t>
  </si>
  <si>
    <t xml:space="preserve">                             - Maintenance</t>
  </si>
  <si>
    <t xml:space="preserve">                             - Harvesting</t>
  </si>
  <si>
    <t>Total Labourers   - Development</t>
  </si>
  <si>
    <t>working days/yr</t>
  </si>
  <si>
    <t xml:space="preserve">            Seedlings</t>
  </si>
  <si>
    <t xml:space="preserve">            Rock phosphate             kg/palm</t>
  </si>
  <si>
    <t xml:space="preserve">0 = half fertiliser lower yield 1 = base case </t>
  </si>
  <si>
    <t>Net Drawdowns</t>
  </si>
  <si>
    <t>5ha farmer income</t>
  </si>
  <si>
    <t>Millgate CPO price</t>
  </si>
  <si>
    <t>Rotterdam price</t>
  </si>
  <si>
    <t>Export costs</t>
  </si>
  <si>
    <t>Value of oil in FFB</t>
  </si>
  <si>
    <t>Fertiliser sensitivity</t>
  </si>
  <si>
    <t>*</t>
  </si>
  <si>
    <t>Cost to maturity (first harvest)</t>
  </si>
  <si>
    <t>Seedling cost of production</t>
  </si>
  <si>
    <t>Farmer cash flow (5ha)</t>
  </si>
  <si>
    <t>Value of kernel in FFB</t>
  </si>
  <si>
    <t>Milling and overhead cost</t>
  </si>
  <si>
    <t>Net income</t>
  </si>
  <si>
    <t>add back labour</t>
  </si>
  <si>
    <t>Development</t>
  </si>
  <si>
    <t>FFB sales</t>
  </si>
  <si>
    <t>Community Profit and Loss Account (500ha)</t>
  </si>
  <si>
    <t>Man Days</t>
  </si>
  <si>
    <t>Man Day Requirement (5 has)</t>
  </si>
  <si>
    <t>One Farmer</t>
  </si>
  <si>
    <t>based on 5.5day week</t>
  </si>
  <si>
    <t>Community Plantation Size</t>
  </si>
  <si>
    <t>Community Plantation Profit and Loss Account (Post Loan, 500ha)</t>
  </si>
  <si>
    <t>Gross Sales of FFB</t>
  </si>
  <si>
    <t>Field Maintenance</t>
  </si>
  <si>
    <t>Labour Cost</t>
  </si>
  <si>
    <t>Materials/tools/transport</t>
  </si>
  <si>
    <t>Net Profit</t>
  </si>
  <si>
    <t>Total income to community</t>
  </si>
  <si>
    <t>add back plantation wages to community employees</t>
  </si>
  <si>
    <t>Loan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</si>
</sst>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"/>
    <numFmt numFmtId="167" formatCode="_-* #,##0_-;\-* #,##0_-;_-* &quot;-&quot;??_-;_-@_-"/>
    <numFmt numFmtId="168" formatCode="_(* #,##0.0%_);_(* \(#,##0.0%\);_(* &quot;--- %&quot;_);_(* @_%_)"/>
    <numFmt numFmtId="169" formatCode="_ * #,##0_ ;_ * \-#,##0_ ;_ * &quot;-&quot;_ ;_ @_ "/>
    <numFmt numFmtId="170" formatCode="#,##0\ ;[Red]\(#,##0\);&quot;- &quot;"/>
    <numFmt numFmtId="171" formatCode="#,##0.0"/>
    <numFmt numFmtId="172" formatCode="_-* #,##0.0_-;\-* #,##0.0_-;_-* &quot;-&quot;??_-;_-@_-"/>
    <numFmt numFmtId="173" formatCode="_ * #,##0.00_ ;_ * \-#,##0.00_ ;_ * &quot;-&quot;??_ ;_ @_ "/>
    <numFmt numFmtId="174" formatCode="0.000_)"/>
    <numFmt numFmtId="175" formatCode="#,##0;\(#,##0\)"/>
    <numFmt numFmtId="176" formatCode="mmmm\ yyyy"/>
    <numFmt numFmtId="177" formatCode="&quot;Ushs&quot;#,##0.00;[Red]\-&quot;Ushs&quot;#,##0.00"/>
    <numFmt numFmtId="178" formatCode="_(&quot;$&quot;\ * #,##0_);_(&quot;$&quot;\ * \(#,##0\);_(&quot;$&quot;\ * &quot;-&quot;_);_(@_)"/>
    <numFmt numFmtId="179" formatCode="_ &quot;R&quot;\ * #,##0.00_ ;_ &quot;R&quot;\ * \-#,##0.00_ ;_ &quot;R&quot;\ * &quot;-&quot;??_ ;_ @_ "/>
    <numFmt numFmtId="180" formatCode="_-&quot;UGX&quot;* #,##0.00_-;\-&quot;UGX&quot;* #,##0.00_-;_-&quot;UGX&quot;* &quot;-&quot;??_-;_-@_-"/>
    <numFmt numFmtId="181" formatCode="0.00_)"/>
    <numFmt numFmtId="182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name val="MS Sans Serif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.05"/>
      <color indexed="8"/>
      <name val="Times New Roman"/>
      <family val="1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Verdana"/>
      <family val="2"/>
    </font>
    <font>
      <i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19"/>
      <color indexed="48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2" fillId="0" borderId="0" applyFill="0" applyBorder="0" applyProtection="0">
      <protection locked="0"/>
    </xf>
    <xf numFmtId="165" fontId="2" fillId="0" borderId="0" applyFont="0" applyFill="0" applyBorder="0" applyAlignment="0" applyProtection="0"/>
    <xf numFmtId="0" fontId="5" fillId="0" borderId="0"/>
    <xf numFmtId="168" fontId="7" fillId="0" borderId="0" applyFont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" fillId="0" borderId="0"/>
    <xf numFmtId="0" fontId="2" fillId="0" borderId="0"/>
    <xf numFmtId="0" fontId="17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7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9" fillId="0" borderId="0"/>
    <xf numFmtId="173" fontId="1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" fillId="0" borderId="0" applyProtection="0">
      <protection locked="0"/>
    </xf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15" applyNumberFormat="0" applyAlignment="0" applyProtection="0"/>
    <xf numFmtId="0" fontId="23" fillId="21" borderId="15" applyNumberFormat="0" applyAlignment="0" applyProtection="0"/>
    <xf numFmtId="0" fontId="23" fillId="21" borderId="15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174" fontId="25" fillId="0" borderId="0"/>
    <xf numFmtId="174" fontId="25" fillId="0" borderId="0"/>
    <xf numFmtId="174" fontId="25" fillId="0" borderId="0"/>
    <xf numFmtId="174" fontId="25" fillId="0" borderId="0"/>
    <xf numFmtId="174" fontId="25" fillId="0" borderId="0"/>
    <xf numFmtId="174" fontId="25" fillId="0" borderId="0"/>
    <xf numFmtId="174" fontId="25" fillId="0" borderId="0"/>
    <xf numFmtId="174" fontId="25" fillId="0" borderId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8" fontId="28" fillId="0" borderId="17" applyBorder="0"/>
    <xf numFmtId="16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8" borderId="15" applyNumberFormat="0" applyAlignment="0" applyProtection="0"/>
    <xf numFmtId="0" fontId="34" fillId="8" borderId="15" applyNumberFormat="0" applyAlignment="0" applyProtection="0"/>
    <xf numFmtId="0" fontId="34" fillId="8" borderId="15" applyNumberFormat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181" fontId="37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2" fillId="24" borderId="22" applyNumberFormat="0" applyFont="0" applyAlignment="0" applyProtection="0"/>
    <xf numFmtId="0" fontId="20" fillId="24" borderId="22" applyNumberFormat="0" applyFont="0" applyAlignment="0" applyProtection="0"/>
    <xf numFmtId="0" fontId="20" fillId="24" borderId="22" applyNumberFormat="0" applyFont="0" applyAlignment="0" applyProtection="0"/>
    <xf numFmtId="0" fontId="38" fillId="21" borderId="23" applyNumberFormat="0" applyAlignment="0" applyProtection="0"/>
    <xf numFmtId="0" fontId="38" fillId="21" borderId="23" applyNumberFormat="0" applyAlignment="0" applyProtection="0"/>
    <xf numFmtId="0" fontId="38" fillId="21" borderId="2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43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>
      <alignment vertical="center"/>
    </xf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0" fontId="9" fillId="0" borderId="0"/>
    <xf numFmtId="0" fontId="17" fillId="0" borderId="0"/>
    <xf numFmtId="0" fontId="1" fillId="0" borderId="0"/>
    <xf numFmtId="43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>
      <alignment vertical="center"/>
    </xf>
    <xf numFmtId="0" fontId="43" fillId="0" borderId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25" borderId="0">
      <alignment vertical="center"/>
    </xf>
    <xf numFmtId="0" fontId="34" fillId="8" borderId="25" applyNumberFormat="0" applyAlignment="0" applyProtection="0"/>
    <xf numFmtId="0" fontId="34" fillId="8" borderId="25" applyNumberFormat="0" applyAlignment="0" applyProtection="0"/>
    <xf numFmtId="0" fontId="34" fillId="8" borderId="25" applyNumberFormat="0" applyAlignment="0" applyProtection="0"/>
    <xf numFmtId="0" fontId="23" fillId="21" borderId="25" applyNumberFormat="0" applyAlignment="0" applyProtection="0"/>
    <xf numFmtId="0" fontId="23" fillId="21" borderId="25" applyNumberFormat="0" applyAlignment="0" applyProtection="0"/>
    <xf numFmtId="0" fontId="23" fillId="21" borderId="25" applyNumberFormat="0" applyAlignment="0" applyProtection="0"/>
    <xf numFmtId="43" fontId="17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4" fontId="26" fillId="27" borderId="0" applyNumberFormat="0" applyProtection="0">
      <alignment horizontal="left" vertical="center" indent="1"/>
    </xf>
    <xf numFmtId="4" fontId="26" fillId="28" borderId="36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5" fillId="27" borderId="0" applyNumberFormat="0" applyProtection="0">
      <alignment horizontal="left" vertical="center" indent="1"/>
    </xf>
    <xf numFmtId="4" fontId="15" fillId="27" borderId="0" applyNumberFormat="0" applyProtection="0">
      <alignment horizontal="left" vertical="center" indent="1"/>
    </xf>
    <xf numFmtId="4" fontId="15" fillId="27" borderId="0" applyNumberFormat="0" applyProtection="0">
      <alignment horizontal="left" vertical="center" indent="1"/>
    </xf>
    <xf numFmtId="4" fontId="15" fillId="30" borderId="37" applyNumberFormat="0" applyProtection="0">
      <alignment horizontal="left" vertical="center" indent="1"/>
    </xf>
    <xf numFmtId="4" fontId="49" fillId="31" borderId="0" applyNumberFormat="0" applyProtection="0">
      <alignment horizontal="left" vertical="center" indent="1"/>
    </xf>
    <xf numFmtId="4" fontId="49" fillId="31" borderId="0" applyNumberFormat="0" applyProtection="0">
      <alignment horizontal="left" vertical="center" indent="1"/>
    </xf>
    <xf numFmtId="4" fontId="49" fillId="31" borderId="0" applyNumberFormat="0" applyProtection="0">
      <alignment horizontal="left" vertical="center" indent="1"/>
    </xf>
    <xf numFmtId="0" fontId="2" fillId="32" borderId="0" applyFont="0" applyBorder="0" applyAlignment="0"/>
  </cellStyleXfs>
  <cellXfs count="258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9" fillId="0" borderId="0" xfId="0" applyNumberFormat="1" applyFont="1"/>
    <xf numFmtId="9" fontId="9" fillId="0" borderId="0" xfId="1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3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7" xfId="0" applyFont="1" applyBorder="1"/>
    <xf numFmtId="21" fontId="9" fillId="0" borderId="0" xfId="0" applyNumberFormat="1" applyFont="1" applyBorder="1"/>
    <xf numFmtId="9" fontId="9" fillId="0" borderId="0" xfId="0" applyNumberFormat="1" applyFont="1" applyBorder="1"/>
    <xf numFmtId="9" fontId="9" fillId="0" borderId="8" xfId="0" applyNumberFormat="1" applyFont="1" applyBorder="1"/>
    <xf numFmtId="0" fontId="8" fillId="0" borderId="1" xfId="0" applyFont="1" applyBorder="1"/>
    <xf numFmtId="0" fontId="8" fillId="0" borderId="4" xfId="0" applyFont="1" applyBorder="1"/>
    <xf numFmtId="9" fontId="9" fillId="0" borderId="6" xfId="0" applyNumberFormat="1" applyFont="1" applyBorder="1"/>
    <xf numFmtId="0" fontId="2" fillId="0" borderId="0" xfId="11" applyFont="1" applyFill="1" applyBorder="1"/>
    <xf numFmtId="0" fontId="9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1" fillId="0" borderId="0" xfId="0" applyFont="1"/>
    <xf numFmtId="167" fontId="9" fillId="0" borderId="0" xfId="2" applyNumberFormat="1" applyFont="1"/>
    <xf numFmtId="0" fontId="13" fillId="0" borderId="0" xfId="0" applyFont="1" applyBorder="1"/>
    <xf numFmtId="0" fontId="2" fillId="0" borderId="0" xfId="0" applyFont="1"/>
    <xf numFmtId="0" fontId="14" fillId="0" borderId="0" xfId="0" applyFont="1"/>
    <xf numFmtId="0" fontId="2" fillId="0" borderId="0" xfId="0" applyFont="1" applyBorder="1"/>
    <xf numFmtId="0" fontId="13" fillId="0" borderId="0" xfId="0" applyFont="1"/>
    <xf numFmtId="3" fontId="13" fillId="0" borderId="0" xfId="0" applyNumberFormat="1" applyFont="1"/>
    <xf numFmtId="9" fontId="9" fillId="0" borderId="0" xfId="0" applyNumberFormat="1" applyFont="1"/>
    <xf numFmtId="0" fontId="13" fillId="0" borderId="0" xfId="11" applyFont="1" applyFill="1" applyBorder="1"/>
    <xf numFmtId="0" fontId="11" fillId="0" borderId="0" xfId="0" applyFont="1" applyAlignment="1">
      <alignment horizontal="left" vertical="center" wrapText="1" indent="1"/>
    </xf>
    <xf numFmtId="0" fontId="2" fillId="0" borderId="0" xfId="0" applyFont="1" applyFill="1" applyBorder="1"/>
    <xf numFmtId="9" fontId="2" fillId="0" borderId="0" xfId="0" applyNumberFormat="1" applyFont="1" applyFill="1" applyBorder="1"/>
    <xf numFmtId="3" fontId="2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NumberFormat="1" applyFont="1"/>
    <xf numFmtId="9" fontId="9" fillId="0" borderId="0" xfId="0" applyNumberFormat="1" applyFont="1" applyBorder="1" applyAlignment="1">
      <alignment horizontal="center"/>
    </xf>
    <xf numFmtId="0" fontId="9" fillId="0" borderId="6" xfId="0" applyFont="1" applyBorder="1"/>
    <xf numFmtId="167" fontId="9" fillId="0" borderId="2" xfId="2" applyNumberFormat="1" applyFont="1" applyBorder="1"/>
    <xf numFmtId="0" fontId="16" fillId="0" borderId="0" xfId="0" applyFont="1"/>
    <xf numFmtId="0" fontId="8" fillId="0" borderId="4" xfId="13" applyFont="1" applyBorder="1"/>
    <xf numFmtId="0" fontId="9" fillId="0" borderId="8" xfId="13" applyFont="1" applyBorder="1"/>
    <xf numFmtId="0" fontId="9" fillId="0" borderId="8" xfId="13" applyFont="1" applyFill="1" applyBorder="1"/>
    <xf numFmtId="0" fontId="9" fillId="0" borderId="6" xfId="13" applyFont="1" applyFill="1" applyBorder="1"/>
    <xf numFmtId="1" fontId="8" fillId="2" borderId="0" xfId="10" applyNumberFormat="1" applyFont="1" applyFill="1" applyBorder="1" applyAlignment="1">
      <alignment vertical="center"/>
    </xf>
    <xf numFmtId="167" fontId="16" fillId="0" borderId="0" xfId="2" applyNumberFormat="1" applyFont="1"/>
    <xf numFmtId="167" fontId="9" fillId="0" borderId="0" xfId="0" applyNumberFormat="1" applyFont="1"/>
    <xf numFmtId="170" fontId="9" fillId="0" borderId="0" xfId="0" applyNumberFormat="1" applyFont="1"/>
    <xf numFmtId="9" fontId="9" fillId="0" borderId="0" xfId="0" applyNumberFormat="1" applyFont="1" applyFill="1" applyBorder="1"/>
    <xf numFmtId="170" fontId="9" fillId="0" borderId="0" xfId="0" applyNumberFormat="1" applyFont="1" applyFill="1" applyBorder="1"/>
    <xf numFmtId="167" fontId="2" fillId="0" borderId="0" xfId="2" applyNumberFormat="1" applyFont="1"/>
    <xf numFmtId="167" fontId="9" fillId="0" borderId="0" xfId="2" applyNumberFormat="1" applyFont="1" applyAlignment="1">
      <alignment horizontal="right"/>
    </xf>
    <xf numFmtId="165" fontId="9" fillId="0" borderId="0" xfId="2" applyFont="1"/>
    <xf numFmtId="10" fontId="9" fillId="0" borderId="0" xfId="9" applyNumberFormat="1" applyFont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17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1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/>
    <xf numFmtId="3" fontId="9" fillId="0" borderId="0" xfId="0" applyNumberFormat="1" applyFont="1"/>
    <xf numFmtId="169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2" xfId="0" applyFont="1" applyBorder="1"/>
    <xf numFmtId="167" fontId="16" fillId="0" borderId="0" xfId="2" applyNumberFormat="1" applyFont="1" applyFill="1" applyBorder="1"/>
    <xf numFmtId="0" fontId="16" fillId="0" borderId="0" xfId="0" applyFont="1" applyBorder="1"/>
    <xf numFmtId="0" fontId="16" fillId="0" borderId="7" xfId="0" applyFont="1" applyBorder="1"/>
    <xf numFmtId="0" fontId="16" fillId="0" borderId="3" xfId="0" applyFont="1" applyBorder="1"/>
    <xf numFmtId="0" fontId="2" fillId="0" borderId="0" xfId="3" applyFont="1"/>
    <xf numFmtId="0" fontId="2" fillId="0" borderId="0" xfId="3" applyFont="1" applyFill="1"/>
    <xf numFmtId="0" fontId="9" fillId="0" borderId="2" xfId="0" applyFont="1" applyBorder="1" applyAlignment="1">
      <alignment horizontal="center"/>
    </xf>
    <xf numFmtId="1" fontId="9" fillId="0" borderId="0" xfId="0" applyNumberFormat="1" applyFont="1" applyBorder="1"/>
    <xf numFmtId="0" fontId="8" fillId="0" borderId="2" xfId="0" applyFont="1" applyBorder="1"/>
    <xf numFmtId="0" fontId="9" fillId="0" borderId="2" xfId="0" applyNumberFormat="1" applyFont="1" applyBorder="1"/>
    <xf numFmtId="0" fontId="8" fillId="0" borderId="0" xfId="0" applyFont="1" applyFill="1" applyBorder="1"/>
    <xf numFmtId="0" fontId="16" fillId="0" borderId="0" xfId="0" applyFont="1" applyFill="1" applyBorder="1"/>
    <xf numFmtId="0" fontId="9" fillId="26" borderId="27" xfId="0" applyFont="1" applyFill="1" applyBorder="1"/>
    <xf numFmtId="167" fontId="9" fillId="0" borderId="3" xfId="2" applyNumberFormat="1" applyFont="1" applyBorder="1"/>
    <xf numFmtId="0" fontId="47" fillId="0" borderId="30" xfId="0" applyFont="1" applyBorder="1"/>
    <xf numFmtId="0" fontId="8" fillId="0" borderId="33" xfId="0" applyFont="1" applyBorder="1" applyAlignment="1">
      <alignment horizontal="center"/>
    </xf>
    <xf numFmtId="0" fontId="9" fillId="0" borderId="31" xfId="0" applyFont="1" applyBorder="1"/>
    <xf numFmtId="0" fontId="8" fillId="0" borderId="29" xfId="0" applyFont="1" applyBorder="1"/>
    <xf numFmtId="0" fontId="9" fillId="0" borderId="0" xfId="0" applyFont="1" applyBorder="1"/>
    <xf numFmtId="167" fontId="9" fillId="0" borderId="0" xfId="2" applyNumberFormat="1" applyFont="1" applyBorder="1"/>
    <xf numFmtId="167" fontId="9" fillId="0" borderId="0" xfId="2" applyNumberFormat="1" applyFont="1" applyBorder="1" applyAlignment="1">
      <alignment horizontal="center"/>
    </xf>
    <xf numFmtId="0" fontId="9" fillId="0" borderId="30" xfId="0" applyFont="1" applyBorder="1"/>
    <xf numFmtId="0" fontId="9" fillId="0" borderId="32" xfId="0" applyFont="1" applyBorder="1"/>
    <xf numFmtId="0" fontId="9" fillId="0" borderId="33" xfId="0" applyFont="1" applyBorder="1"/>
    <xf numFmtId="167" fontId="9" fillId="0" borderId="33" xfId="2" applyNumberFormat="1" applyFont="1" applyBorder="1"/>
    <xf numFmtId="0" fontId="9" fillId="0" borderId="34" xfId="0" applyFont="1" applyBorder="1"/>
    <xf numFmtId="0" fontId="9" fillId="0" borderId="13" xfId="0" applyFont="1" applyBorder="1"/>
    <xf numFmtId="172" fontId="9" fillId="0" borderId="33" xfId="2" applyNumberFormat="1" applyFont="1" applyBorder="1"/>
    <xf numFmtId="0" fontId="9" fillId="0" borderId="35" xfId="0" applyFont="1" applyBorder="1"/>
    <xf numFmtId="0" fontId="47" fillId="0" borderId="32" xfId="0" applyFont="1" applyBorder="1"/>
    <xf numFmtId="165" fontId="9" fillId="0" borderId="0" xfId="2" applyNumberFormat="1" applyFont="1"/>
    <xf numFmtId="0" fontId="9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/>
    <xf numFmtId="3" fontId="9" fillId="0" borderId="0" xfId="0" applyNumberFormat="1" applyFont="1"/>
    <xf numFmtId="167" fontId="0" fillId="0" borderId="0" xfId="2" applyNumberFormat="1" applyFont="1"/>
    <xf numFmtId="167" fontId="0" fillId="0" borderId="0" xfId="0" applyNumberFormat="1"/>
    <xf numFmtId="3" fontId="9" fillId="0" borderId="0" xfId="0" applyNumberFormat="1" applyFont="1" applyFill="1"/>
    <xf numFmtId="182" fontId="9" fillId="0" borderId="0" xfId="0" applyNumberFormat="1" applyFont="1" applyBorder="1"/>
    <xf numFmtId="182" fontId="9" fillId="26" borderId="28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9" fontId="9" fillId="26" borderId="28" xfId="0" applyNumberFormat="1" applyFont="1" applyFill="1" applyBorder="1"/>
    <xf numFmtId="0" fontId="50" fillId="33" borderId="38" xfId="0" applyFont="1" applyFill="1" applyBorder="1"/>
    <xf numFmtId="0" fontId="0" fillId="33" borderId="14" xfId="0" applyFill="1" applyBorder="1"/>
    <xf numFmtId="0" fontId="0" fillId="33" borderId="39" xfId="0" applyFill="1" applyBorder="1"/>
    <xf numFmtId="0" fontId="9" fillId="0" borderId="5" xfId="0" applyFont="1" applyBorder="1" applyAlignment="1">
      <alignment horizontal="left"/>
    </xf>
    <xf numFmtId="0" fontId="8" fillId="0" borderId="12" xfId="13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6" xfId="13" applyFont="1" applyBorder="1"/>
    <xf numFmtId="167" fontId="8" fillId="0" borderId="8" xfId="2" applyNumberFormat="1" applyFont="1" applyBorder="1"/>
    <xf numFmtId="167" fontId="9" fillId="0" borderId="8" xfId="2" applyNumberFormat="1" applyFont="1" applyBorder="1"/>
    <xf numFmtId="167" fontId="9" fillId="0" borderId="8" xfId="2" applyNumberFormat="1" applyFont="1" applyFill="1" applyBorder="1"/>
    <xf numFmtId="167" fontId="9" fillId="0" borderId="3" xfId="2" applyNumberFormat="1" applyFont="1" applyFill="1" applyBorder="1"/>
    <xf numFmtId="167" fontId="9" fillId="0" borderId="8" xfId="2" applyNumberFormat="1" applyFont="1" applyBorder="1" applyAlignment="1">
      <alignment horizontal="center"/>
    </xf>
    <xf numFmtId="167" fontId="9" fillId="0" borderId="7" xfId="2" applyNumberFormat="1" applyFont="1" applyFill="1" applyBorder="1"/>
    <xf numFmtId="0" fontId="50" fillId="0" borderId="0" xfId="0" applyFont="1" applyAlignment="1">
      <alignment horizontal="center"/>
    </xf>
    <xf numFmtId="0" fontId="50" fillId="0" borderId="0" xfId="0" applyFont="1"/>
    <xf numFmtId="0" fontId="9" fillId="0" borderId="12" xfId="0" applyFont="1" applyBorder="1"/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0" xfId="0" applyAlignment="1">
      <alignment horizontal="right"/>
    </xf>
    <xf numFmtId="0" fontId="50" fillId="0" borderId="0" xfId="0" applyFont="1" applyAlignment="1">
      <alignment horizontal="right"/>
    </xf>
    <xf numFmtId="17" fontId="0" fillId="0" borderId="0" xfId="0" quotePrefix="1" applyNumberFormat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166" fontId="9" fillId="0" borderId="41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2" fontId="9" fillId="0" borderId="0" xfId="2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2" fontId="9" fillId="0" borderId="41" xfId="0" applyNumberFormat="1" applyFont="1" applyBorder="1" applyAlignment="1">
      <alignment horizontal="center"/>
    </xf>
    <xf numFmtId="166" fontId="9" fillId="0" borderId="42" xfId="0" applyNumberFormat="1" applyFont="1" applyBorder="1" applyAlignment="1">
      <alignment horizontal="center"/>
    </xf>
    <xf numFmtId="2" fontId="9" fillId="0" borderId="42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6" fontId="9" fillId="0" borderId="43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2" fontId="9" fillId="0" borderId="2" xfId="2" applyNumberFormat="1" applyFont="1" applyBorder="1" applyAlignment="1">
      <alignment horizontal="center"/>
    </xf>
    <xf numFmtId="2" fontId="9" fillId="0" borderId="4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43" xfId="0" applyBorder="1"/>
    <xf numFmtId="2" fontId="0" fillId="0" borderId="0" xfId="0" applyNumberFormat="1"/>
    <xf numFmtId="182" fontId="9" fillId="0" borderId="0" xfId="1" applyNumberFormat="1" applyFont="1"/>
    <xf numFmtId="0" fontId="46" fillId="0" borderId="0" xfId="0" applyFont="1" applyAlignment="1">
      <alignment horizontal="left" vertical="center" wrapText="1" indent="1"/>
    </xf>
    <xf numFmtId="0" fontId="9" fillId="0" borderId="0" xfId="0" applyFont="1" applyFill="1" applyBorder="1" applyAlignment="1">
      <alignment horizontal="right"/>
    </xf>
    <xf numFmtId="0" fontId="11" fillId="0" borderId="0" xfId="0" quotePrefix="1" applyFont="1" applyAlignment="1">
      <alignment horizontal="left" vertical="center" wrapText="1" indent="1"/>
    </xf>
    <xf numFmtId="9" fontId="0" fillId="0" borderId="0" xfId="0" applyNumberFormat="1"/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left"/>
    </xf>
    <xf numFmtId="4" fontId="9" fillId="0" borderId="0" xfId="0" applyNumberFormat="1" applyFont="1"/>
    <xf numFmtId="3" fontId="9" fillId="0" borderId="41" xfId="0" applyNumberFormat="1" applyFont="1" applyBorder="1" applyAlignment="1">
      <alignment horizontal="right"/>
    </xf>
    <xf numFmtId="3" fontId="9" fillId="0" borderId="42" xfId="0" applyNumberFormat="1" applyFont="1" applyBorder="1" applyAlignment="1">
      <alignment horizontal="right"/>
    </xf>
    <xf numFmtId="0" fontId="9" fillId="0" borderId="42" xfId="0" applyFont="1" applyBorder="1" applyAlignment="1">
      <alignment horizontal="right"/>
    </xf>
    <xf numFmtId="3" fontId="9" fillId="0" borderId="43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7" fontId="9" fillId="0" borderId="42" xfId="2" applyNumberFormat="1" applyFont="1" applyBorder="1"/>
    <xf numFmtId="0" fontId="0" fillId="0" borderId="42" xfId="0" applyBorder="1"/>
    <xf numFmtId="167" fontId="9" fillId="0" borderId="41" xfId="2" applyNumberFormat="1" applyFont="1" applyBorder="1"/>
    <xf numFmtId="167" fontId="9" fillId="0" borderId="43" xfId="2" applyNumberFormat="1" applyFont="1" applyBorder="1"/>
    <xf numFmtId="0" fontId="8" fillId="0" borderId="1" xfId="0" applyFont="1" applyFill="1" applyBorder="1" applyAlignment="1">
      <alignment horizontal="center"/>
    </xf>
    <xf numFmtId="0" fontId="0" fillId="0" borderId="11" xfId="0" applyBorder="1"/>
    <xf numFmtId="0" fontId="50" fillId="0" borderId="11" xfId="0" applyFont="1" applyBorder="1"/>
    <xf numFmtId="0" fontId="8" fillId="0" borderId="41" xfId="0" applyFont="1" applyBorder="1" applyAlignment="1">
      <alignment horizontal="center"/>
    </xf>
    <xf numFmtId="167" fontId="0" fillId="0" borderId="11" xfId="0" applyNumberFormat="1" applyBorder="1"/>
    <xf numFmtId="165" fontId="0" fillId="0" borderId="40" xfId="2" applyFont="1" applyBorder="1"/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67" fontId="9" fillId="0" borderId="11" xfId="0" applyNumberFormat="1" applyFont="1" applyBorder="1"/>
    <xf numFmtId="0" fontId="8" fillId="0" borderId="11" xfId="0" applyFont="1" applyBorder="1" applyAlignment="1">
      <alignment horizontal="left" vertical="center" wrapText="1"/>
    </xf>
    <xf numFmtId="167" fontId="8" fillId="0" borderId="11" xfId="2" applyNumberFormat="1" applyFont="1" applyBorder="1" applyAlignment="1">
      <alignment horizontal="right" vertical="center" wrapText="1"/>
    </xf>
    <xf numFmtId="0" fontId="9" fillId="0" borderId="41" xfId="0" applyFont="1" applyBorder="1"/>
    <xf numFmtId="0" fontId="9" fillId="0" borderId="42" xfId="0" applyFont="1" applyBorder="1"/>
    <xf numFmtId="167" fontId="9" fillId="0" borderId="42" xfId="0" applyNumberFormat="1" applyFont="1" applyBorder="1"/>
    <xf numFmtId="167" fontId="0" fillId="0" borderId="40" xfId="2" applyNumberFormat="1" applyFont="1" applyBorder="1"/>
    <xf numFmtId="0" fontId="8" fillId="33" borderId="26" xfId="0" applyFont="1" applyFill="1" applyBorder="1"/>
    <xf numFmtId="0" fontId="16" fillId="33" borderId="27" xfId="0" applyFont="1" applyFill="1" applyBorder="1"/>
    <xf numFmtId="0" fontId="16" fillId="33" borderId="28" xfId="0" applyFont="1" applyFill="1" applyBorder="1"/>
    <xf numFmtId="0" fontId="9" fillId="33" borderId="26" xfId="0" applyFont="1" applyFill="1" applyBorder="1"/>
    <xf numFmtId="0" fontId="9" fillId="0" borderId="3" xfId="1" applyNumberFormat="1" applyFont="1" applyBorder="1"/>
    <xf numFmtId="0" fontId="0" fillId="0" borderId="0" xfId="0" quotePrefix="1"/>
    <xf numFmtId="0" fontId="11" fillId="0" borderId="4" xfId="0" applyFont="1" applyBorder="1"/>
    <xf numFmtId="0" fontId="0" fillId="0" borderId="1" xfId="0" applyBorder="1"/>
    <xf numFmtId="0" fontId="0" fillId="0" borderId="5" xfId="0" applyBorder="1"/>
    <xf numFmtId="0" fontId="11" fillId="0" borderId="8" xfId="0" applyFont="1" applyBorder="1"/>
    <xf numFmtId="0" fontId="0" fillId="0" borderId="0" xfId="0" applyBorder="1"/>
    <xf numFmtId="0" fontId="0" fillId="0" borderId="3" xfId="0" applyBorder="1"/>
    <xf numFmtId="0" fontId="11" fillId="0" borderId="6" xfId="0" applyFont="1" applyBorder="1"/>
    <xf numFmtId="0" fontId="0" fillId="0" borderId="2" xfId="0" applyBorder="1"/>
    <xf numFmtId="0" fontId="0" fillId="0" borderId="7" xfId="0" applyBorder="1"/>
    <xf numFmtId="2" fontId="9" fillId="0" borderId="4" xfId="0" applyNumberFormat="1" applyFont="1" applyBorder="1"/>
    <xf numFmtId="9" fontId="8" fillId="0" borderId="0" xfId="1" applyFont="1"/>
    <xf numFmtId="3" fontId="9" fillId="0" borderId="2" xfId="0" applyNumberFormat="1" applyFont="1" applyBorder="1"/>
    <xf numFmtId="0" fontId="0" fillId="0" borderId="0" xfId="0" applyFill="1" applyBorder="1"/>
    <xf numFmtId="9" fontId="0" fillId="0" borderId="0" xfId="0" applyNumberFormat="1" applyFill="1" applyBorder="1"/>
    <xf numFmtId="0" fontId="0" fillId="33" borderId="41" xfId="0" applyFill="1" applyBorder="1"/>
    <xf numFmtId="9" fontId="0" fillId="33" borderId="42" xfId="0" applyNumberFormat="1" applyFill="1" applyBorder="1"/>
    <xf numFmtId="0" fontId="0" fillId="33" borderId="42" xfId="0" applyFill="1" applyBorder="1"/>
    <xf numFmtId="1" fontId="0" fillId="33" borderId="43" xfId="0" applyNumberFormat="1" applyFill="1" applyBorder="1"/>
    <xf numFmtId="3" fontId="9" fillId="0" borderId="0" xfId="0" applyNumberFormat="1" applyFont="1" applyFill="1" applyBorder="1"/>
    <xf numFmtId="165" fontId="9" fillId="0" borderId="0" xfId="0" applyNumberFormat="1" applyFont="1" applyBorder="1"/>
    <xf numFmtId="3" fontId="0" fillId="0" borderId="0" xfId="0" applyNumberFormat="1"/>
    <xf numFmtId="1" fontId="0" fillId="0" borderId="0" xfId="0" applyNumberFormat="1" applyFill="1" applyBorder="1"/>
    <xf numFmtId="0" fontId="9" fillId="33" borderId="41" xfId="0" applyFont="1" applyFill="1" applyBorder="1"/>
    <xf numFmtId="0" fontId="9" fillId="33" borderId="42" xfId="0" applyFont="1" applyFill="1" applyBorder="1"/>
    <xf numFmtId="0" fontId="9" fillId="33" borderId="43" xfId="0" applyFont="1" applyFill="1" applyBorder="1"/>
    <xf numFmtId="3" fontId="9" fillId="0" borderId="8" xfId="0" applyNumberFormat="1" applyFont="1" applyBorder="1"/>
    <xf numFmtId="3" fontId="9" fillId="0" borderId="3" xfId="0" applyNumberFormat="1" applyFont="1" applyBorder="1"/>
    <xf numFmtId="0" fontId="13" fillId="0" borderId="6" xfId="0" applyFont="1" applyBorder="1"/>
    <xf numFmtId="3" fontId="9" fillId="0" borderId="7" xfId="0" applyNumberFormat="1" applyFont="1" applyBorder="1"/>
    <xf numFmtId="166" fontId="0" fillId="0" borderId="0" xfId="0" applyNumberFormat="1"/>
    <xf numFmtId="0" fontId="9" fillId="0" borderId="29" xfId="0" applyFont="1" applyBorder="1"/>
    <xf numFmtId="3" fontId="9" fillId="0" borderId="0" xfId="0" applyNumberFormat="1" applyFont="1" applyBorder="1"/>
    <xf numFmtId="0" fontId="10" fillId="0" borderId="0" xfId="0" applyFont="1" applyBorder="1"/>
    <xf numFmtId="3" fontId="10" fillId="0" borderId="0" xfId="0" applyNumberFormat="1" applyFont="1" applyBorder="1"/>
    <xf numFmtId="0" fontId="13" fillId="0" borderId="32" xfId="0" applyFont="1" applyBorder="1"/>
    <xf numFmtId="3" fontId="51" fillId="0" borderId="0" xfId="0" applyNumberFormat="1" applyFont="1" applyBorder="1"/>
    <xf numFmtId="3" fontId="52" fillId="0" borderId="0" xfId="0" applyNumberFormat="1" applyFont="1"/>
    <xf numFmtId="0" fontId="8" fillId="0" borderId="11" xfId="0" applyFont="1" applyBorder="1" applyAlignment="1">
      <alignment horizontal="center" vertical="center" wrapText="1"/>
    </xf>
  </cellXfs>
  <cellStyles count="278">
    <cellStyle name="_x000a_386grabber=M" xfId="4"/>
    <cellStyle name="_x000a_bidires=100_x000d_" xfId="245"/>
    <cellStyle name="_x000a_bidires=100_x000d_ 2" xfId="227"/>
    <cellStyle name="20% - Accent1 2" xfId="34"/>
    <cellStyle name="20% - Accent1 2 2" xfId="35"/>
    <cellStyle name="20% - Accent1 2 3" xfId="36"/>
    <cellStyle name="20% - Accent2 2" xfId="37"/>
    <cellStyle name="20% - Accent2 2 2" xfId="38"/>
    <cellStyle name="20% - Accent2 2 3" xfId="39"/>
    <cellStyle name="20% - Accent3 2" xfId="40"/>
    <cellStyle name="20% - Accent3 2 2" xfId="41"/>
    <cellStyle name="20% - Accent3 2 3" xfId="42"/>
    <cellStyle name="20% - Accent4 2" xfId="43"/>
    <cellStyle name="20% - Accent4 2 2" xfId="44"/>
    <cellStyle name="20% - Accent4 2 3" xfId="45"/>
    <cellStyle name="20% - Accent5 2" xfId="46"/>
    <cellStyle name="20% - Accent5 2 2" xfId="47"/>
    <cellStyle name="20% - Accent5 2 3" xfId="48"/>
    <cellStyle name="20% - Accent6 2" xfId="49"/>
    <cellStyle name="20% - Accent6 2 2" xfId="50"/>
    <cellStyle name="20% - Accent6 2 3" xfId="51"/>
    <cellStyle name="2decimal" xfId="52"/>
    <cellStyle name="40% - Accent1 2" xfId="53"/>
    <cellStyle name="40% - Accent1 2 2" xfId="54"/>
    <cellStyle name="40% - Accent1 2 3" xfId="55"/>
    <cellStyle name="40% - Accent2 2" xfId="56"/>
    <cellStyle name="40% - Accent2 2 2" xfId="57"/>
    <cellStyle name="40% - Accent2 2 3" xfId="58"/>
    <cellStyle name="40% - Accent3 2" xfId="59"/>
    <cellStyle name="40% - Accent3 2 2" xfId="60"/>
    <cellStyle name="40% - Accent3 2 3" xfId="61"/>
    <cellStyle name="40% - Accent4 2" xfId="62"/>
    <cellStyle name="40% - Accent4 2 2" xfId="63"/>
    <cellStyle name="40% - Accent4 2 3" xfId="64"/>
    <cellStyle name="40% - Accent5 2" xfId="65"/>
    <cellStyle name="40% - Accent5 2 2" xfId="66"/>
    <cellStyle name="40% - Accent5 2 3" xfId="67"/>
    <cellStyle name="40% - Accent6 2" xfId="68"/>
    <cellStyle name="40% - Accent6 2 2" xfId="69"/>
    <cellStyle name="40% - Accent6 2 3" xfId="70"/>
    <cellStyle name="60% - Accent1 2" xfId="71"/>
    <cellStyle name="60% - Accent1 2 2" xfId="72"/>
    <cellStyle name="60% - Accent1 2 3" xfId="73"/>
    <cellStyle name="60% - Accent2 2" xfId="74"/>
    <cellStyle name="60% - Accent2 2 2" xfId="75"/>
    <cellStyle name="60% - Accent2 2 3" xfId="76"/>
    <cellStyle name="60% - Accent3 2" xfId="77"/>
    <cellStyle name="60% - Accent3 2 2" xfId="78"/>
    <cellStyle name="60% - Accent3 2 3" xfId="79"/>
    <cellStyle name="60% - Accent4 2" xfId="80"/>
    <cellStyle name="60% - Accent4 2 2" xfId="81"/>
    <cellStyle name="60% - Accent4 2 3" xfId="82"/>
    <cellStyle name="60% - Accent5 2" xfId="83"/>
    <cellStyle name="60% - Accent5 2 2" xfId="84"/>
    <cellStyle name="60% - Accent5 2 3" xfId="85"/>
    <cellStyle name="60% - Accent6 2" xfId="86"/>
    <cellStyle name="60% - Accent6 2 2" xfId="87"/>
    <cellStyle name="60% - Accent6 2 3" xfId="88"/>
    <cellStyle name="Accent1 2" xfId="89"/>
    <cellStyle name="Accent1 2 2" xfId="90"/>
    <cellStyle name="Accent1 2 3" xfId="91"/>
    <cellStyle name="Accent2 2" xfId="92"/>
    <cellStyle name="Accent2 2 2" xfId="93"/>
    <cellStyle name="Accent2 2 3" xfId="94"/>
    <cellStyle name="Accent3 2" xfId="95"/>
    <cellStyle name="Accent3 2 2" xfId="96"/>
    <cellStyle name="Accent3 2 3" xfId="97"/>
    <cellStyle name="Accent4 2" xfId="98"/>
    <cellStyle name="Accent4 2 2" xfId="99"/>
    <cellStyle name="Accent4 2 3" xfId="100"/>
    <cellStyle name="Accent5 2" xfId="101"/>
    <cellStyle name="Accent5 2 2" xfId="102"/>
    <cellStyle name="Accent5 2 3" xfId="103"/>
    <cellStyle name="Accent6 2" xfId="104"/>
    <cellStyle name="Accent6 2 2" xfId="105"/>
    <cellStyle name="Accent6 2 3" xfId="106"/>
    <cellStyle name="AFE" xfId="5"/>
    <cellStyle name="Bad 2" xfId="107"/>
    <cellStyle name="Bad 2 2" xfId="108"/>
    <cellStyle name="Bad 2 3" xfId="109"/>
    <cellStyle name="Brand Default" xfId="246"/>
    <cellStyle name="Calculation 2" xfId="110"/>
    <cellStyle name="Calculation 2 2" xfId="111"/>
    <cellStyle name="Calculation 2 2 2" xfId="254"/>
    <cellStyle name="Calculation 2 3" xfId="112"/>
    <cellStyle name="Calculation 2 3 2" xfId="253"/>
    <cellStyle name="Calculation 2 4" xfId="255"/>
    <cellStyle name="Check Cell 2" xfId="113"/>
    <cellStyle name="Check Cell 2 2" xfId="114"/>
    <cellStyle name="Check Cell 2 3" xfId="115"/>
    <cellStyle name="Comma" xfId="2" builtinId="3"/>
    <cellStyle name="Comma  - Style1" xfId="116"/>
    <cellStyle name="Comma  - Style2" xfId="117"/>
    <cellStyle name="Comma  - Style3" xfId="118"/>
    <cellStyle name="Comma  - Style4" xfId="119"/>
    <cellStyle name="Comma  - Style5" xfId="120"/>
    <cellStyle name="Comma  - Style6" xfId="121"/>
    <cellStyle name="Comma  - Style7" xfId="122"/>
    <cellStyle name="Comma  - Style8" xfId="123"/>
    <cellStyle name="Comma 10" xfId="124"/>
    <cellStyle name="Comma 11" xfId="125"/>
    <cellStyle name="Comma 12" xfId="126"/>
    <cellStyle name="Comma 13" xfId="127"/>
    <cellStyle name="Comma 14" xfId="128"/>
    <cellStyle name="Comma 15" xfId="129"/>
    <cellStyle name="Comma 16" xfId="130"/>
    <cellStyle name="Comma 17" xfId="131"/>
    <cellStyle name="Comma 18" xfId="238"/>
    <cellStyle name="Comma 19" xfId="242"/>
    <cellStyle name="Comma 2" xfId="6"/>
    <cellStyle name="Comma 2 2" xfId="27"/>
    <cellStyle name="Comma 2 2 2" xfId="132"/>
    <cellStyle name="Comma 2 3" xfId="133"/>
    <cellStyle name="Comma 2 4" xfId="134"/>
    <cellStyle name="Comma 2 5" xfId="135"/>
    <cellStyle name="Comma 2 6" xfId="235"/>
    <cellStyle name="Comma 2 7" xfId="244"/>
    <cellStyle name="Comma 2 7 2" xfId="228"/>
    <cellStyle name="Comma 2 8" xfId="17"/>
    <cellStyle name="Comma 2 9" xfId="258"/>
    <cellStyle name="Comma 20" xfId="15"/>
    <cellStyle name="Comma 21" xfId="256"/>
    <cellStyle name="Comma 3" xfId="14"/>
    <cellStyle name="Comma 3 2" xfId="136"/>
    <cellStyle name="Comma 3 3" xfId="137"/>
    <cellStyle name="Comma 3 4" xfId="18"/>
    <cellStyle name="Comma 4" xfId="19"/>
    <cellStyle name="Comma 4 2" xfId="138"/>
    <cellStyle name="Comma 4 3" xfId="139"/>
    <cellStyle name="Comma 4 4" xfId="237"/>
    <cellStyle name="Comma 5" xfId="20"/>
    <cellStyle name="Comma 5 2" xfId="140"/>
    <cellStyle name="Comma 5 2 2" xfId="141"/>
    <cellStyle name="Comma 6" xfId="26"/>
    <cellStyle name="Comma 6 2" xfId="142"/>
    <cellStyle name="Comma 7" xfId="28"/>
    <cellStyle name="Comma 7 2" xfId="143"/>
    <cellStyle name="Comma 7 3" xfId="144"/>
    <cellStyle name="Comma 8" xfId="29"/>
    <cellStyle name="Comma 8 2" xfId="145"/>
    <cellStyle name="Comma 9" xfId="33"/>
    <cellStyle name="Currency [0]b" xfId="146"/>
    <cellStyle name="Currency 2" xfId="147"/>
    <cellStyle name="Currency 2 2" xfId="148"/>
    <cellStyle name="Currency 2 3" xfId="149"/>
    <cellStyle name="Currency 3" xfId="150"/>
    <cellStyle name="Currency 3 2" xfId="151"/>
    <cellStyle name="Currency 3 2 2" xfId="152"/>
    <cellStyle name="currency(2)" xfId="153"/>
    <cellStyle name="currency(2) 2" xfId="154"/>
    <cellStyle name="currency(2) 3" xfId="155"/>
    <cellStyle name="Explanatory Text 2" xfId="156"/>
    <cellStyle name="Explanatory Text 2 2" xfId="157"/>
    <cellStyle name="Explanatory Text 2 3" xfId="158"/>
    <cellStyle name="Good 2" xfId="159"/>
    <cellStyle name="Good 2 2" xfId="160"/>
    <cellStyle name="Good 2 3" xfId="161"/>
    <cellStyle name="Heading 1 2" xfId="162"/>
    <cellStyle name="Heading 1 2 2" xfId="163"/>
    <cellStyle name="Heading 1 2 3" xfId="164"/>
    <cellStyle name="Heading 2 2" xfId="165"/>
    <cellStyle name="Heading 2 2 2" xfId="166"/>
    <cellStyle name="Heading 2 2 3" xfId="167"/>
    <cellStyle name="Heading 3 2" xfId="168"/>
    <cellStyle name="Heading 3 2 2" xfId="169"/>
    <cellStyle name="Heading 3 2 3" xfId="170"/>
    <cellStyle name="Heading 4 2" xfId="171"/>
    <cellStyle name="Heading 4 2 2" xfId="172"/>
    <cellStyle name="Heading 4 2 3" xfId="173"/>
    <cellStyle name="Hyperlink 2" xfId="247"/>
    <cellStyle name="Hyperlink 3" xfId="248"/>
    <cellStyle name="Input 2" xfId="174"/>
    <cellStyle name="Input 2 2" xfId="175"/>
    <cellStyle name="Input 2 2 2" xfId="251"/>
    <cellStyle name="Input 2 3" xfId="176"/>
    <cellStyle name="Input 2 3 2" xfId="250"/>
    <cellStyle name="Input 2 4" xfId="252"/>
    <cellStyle name="Linked Cell 2" xfId="177"/>
    <cellStyle name="Linked Cell 2 2" xfId="178"/>
    <cellStyle name="Linked Cell 2 3" xfId="179"/>
    <cellStyle name="Neutral 2" xfId="180"/>
    <cellStyle name="Neutral 2 2" xfId="181"/>
    <cellStyle name="Neutral 2 3" xfId="182"/>
    <cellStyle name="Normal" xfId="0" builtinId="0"/>
    <cellStyle name="Normal - Style1" xfId="183"/>
    <cellStyle name="Normal 10" xfId="21"/>
    <cellStyle name="Normal 11" xfId="232"/>
    <cellStyle name="Normal 12" xfId="240"/>
    <cellStyle name="Normal 13" xfId="257"/>
    <cellStyle name="Normal 14" xfId="13"/>
    <cellStyle name="Normal 2" xfId="7"/>
    <cellStyle name="Normal 2 2" xfId="31"/>
    <cellStyle name="Normal 2 2 2" xfId="184"/>
    <cellStyle name="Normal 2 2 2 2" xfId="185"/>
    <cellStyle name="Normal 2 2 3" xfId="186"/>
    <cellStyle name="Normal 2 2 4" xfId="187"/>
    <cellStyle name="Normal 2 2 5" xfId="259"/>
    <cellStyle name="Normal 2 3" xfId="188"/>
    <cellStyle name="Normal 2 3 2" xfId="189"/>
    <cellStyle name="Normal 2 4" xfId="190"/>
    <cellStyle name="Normal 2 5" xfId="191"/>
    <cellStyle name="Normal 2 6" xfId="230"/>
    <cellStyle name="Normal 2 7" xfId="234"/>
    <cellStyle name="Normal 2 8" xfId="16"/>
    <cellStyle name="Normal 3" xfId="3"/>
    <cellStyle name="Normal 3 2" xfId="192"/>
    <cellStyle name="Normal 3 2 2" xfId="193"/>
    <cellStyle name="Normal 3 3" xfId="233"/>
    <cellStyle name="Normal 3 4" xfId="260"/>
    <cellStyle name="Normal 4" xfId="11"/>
    <cellStyle name="Normal 4 2" xfId="12"/>
    <cellStyle name="Normal 4 2 2" xfId="194"/>
    <cellStyle name="Normal 4 3" xfId="236"/>
    <cellStyle name="Normal 4 4" xfId="22"/>
    <cellStyle name="Normal 4 5" xfId="261"/>
    <cellStyle name="Normal 5" xfId="32"/>
    <cellStyle name="Normal 5 2" xfId="195"/>
    <cellStyle name="Normal 5 2 2" xfId="196"/>
    <cellStyle name="Normal 5 3" xfId="262"/>
    <cellStyle name="Normal 6" xfId="197"/>
    <cellStyle name="Normal 6 2" xfId="198"/>
    <cellStyle name="Normal 6 2 2" xfId="199"/>
    <cellStyle name="Normal 6 3" xfId="263"/>
    <cellStyle name="Normal 7" xfId="200"/>
    <cellStyle name="Normal 7 2" xfId="201"/>
    <cellStyle name="Normal 8" xfId="202"/>
    <cellStyle name="Normal 9" xfId="203"/>
    <cellStyle name="Note 2" xfId="204"/>
    <cellStyle name="Note 2 2" xfId="205"/>
    <cellStyle name="Note 2 3" xfId="206"/>
    <cellStyle name="Output 2" xfId="207"/>
    <cellStyle name="Output 2 2" xfId="208"/>
    <cellStyle name="Output 2 3" xfId="209"/>
    <cellStyle name="Pctg" xfId="8"/>
    <cellStyle name="Percent" xfId="1" builtinId="5"/>
    <cellStyle name="Percent 2" xfId="9"/>
    <cellStyle name="Percent 2 2" xfId="210"/>
    <cellStyle name="Percent 2 3" xfId="211"/>
    <cellStyle name="Percent 2 4" xfId="212"/>
    <cellStyle name="Percent 2 5" xfId="213"/>
    <cellStyle name="Percent 2 6" xfId="23"/>
    <cellStyle name="Percent 3" xfId="24"/>
    <cellStyle name="Percent 3 2" xfId="214"/>
    <cellStyle name="Percent 3 3" xfId="229"/>
    <cellStyle name="Percent 4" xfId="25"/>
    <cellStyle name="Percent 4 2" xfId="215"/>
    <cellStyle name="Percent 4 3" xfId="241"/>
    <cellStyle name="Percent 5" xfId="30"/>
    <cellStyle name="Percent 5 2" xfId="216"/>
    <cellStyle name="Percent 6" xfId="239"/>
    <cellStyle name="Percent 7" xfId="243"/>
    <cellStyle name="Percent 8" xfId="231"/>
    <cellStyle name="RC_gray1" xfId="249"/>
    <cellStyle name="SAPBEXchaText" xfId="264"/>
    <cellStyle name="SAPBEXfilterDrill" xfId="265"/>
    <cellStyle name="SAPBEXfilterItem" xfId="266"/>
    <cellStyle name="SAPBEXheaderItem" xfId="267"/>
    <cellStyle name="SAPBEXheaderItem 2" xfId="268"/>
    <cellStyle name="SAPBEXheaderItem 3" xfId="269"/>
    <cellStyle name="SAPBEXheaderText" xfId="270"/>
    <cellStyle name="SAPBEXheaderText 2" xfId="271"/>
    <cellStyle name="SAPBEXheaderText 3" xfId="272"/>
    <cellStyle name="SAPBEXstdItem" xfId="273"/>
    <cellStyle name="SAPBEXtitle" xfId="274"/>
    <cellStyle name="SAPBEXtitle 2" xfId="275"/>
    <cellStyle name="SAPBEXtitle 3" xfId="276"/>
    <cellStyle name="Style 1" xfId="10"/>
    <cellStyle name="Style 1 2" xfId="277"/>
    <cellStyle name="Title 2" xfId="217"/>
    <cellStyle name="Title 2 2" xfId="218"/>
    <cellStyle name="Title 2 3" xfId="219"/>
    <cellStyle name="Total 2" xfId="220"/>
    <cellStyle name="Total 2 2" xfId="221"/>
    <cellStyle name="Total 2 3" xfId="222"/>
    <cellStyle name="Vírgula 2" xfId="223"/>
    <cellStyle name="Warning Text 2" xfId="224"/>
    <cellStyle name="Warning Text 2 2" xfId="225"/>
    <cellStyle name="Warning Text 2 3" xfId="226"/>
  </cellStyles>
  <dxfs count="0"/>
  <tableStyles count="0" defaultTableStyle="TableStyleMedium2" defaultPivotStyle="PivotStyleLight16"/>
  <colors>
    <mruColors>
      <color rgb="FFFFFFCC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8575">
              <a:noFill/>
            </a:ln>
          </c:spPr>
          <c:invertIfNegative val="0"/>
          <c:cat>
            <c:numRef>
              <c:f>Charts!$C$3:$U$3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Charts!$C$6:$U$6</c:f>
              <c:numCache>
                <c:formatCode>#,##0</c:formatCode>
                <c:ptCount val="19"/>
                <c:pt idx="0">
                  <c:v>-1394924.0181092282</c:v>
                </c:pt>
                <c:pt idx="1">
                  <c:v>-309556.09868195903</c:v>
                </c:pt>
                <c:pt idx="2">
                  <c:v>-291021.60263677873</c:v>
                </c:pt>
                <c:pt idx="3">
                  <c:v>-78887.238411057653</c:v>
                </c:pt>
                <c:pt idx="4">
                  <c:v>-39563.039853365335</c:v>
                </c:pt>
                <c:pt idx="5">
                  <c:v>74810.244521634682</c:v>
                </c:pt>
                <c:pt idx="6">
                  <c:v>160547.10077163466</c:v>
                </c:pt>
                <c:pt idx="7">
                  <c:v>218023.03514663468</c:v>
                </c:pt>
                <c:pt idx="8">
                  <c:v>275673.03514663468</c:v>
                </c:pt>
                <c:pt idx="9">
                  <c:v>275673.03514663468</c:v>
                </c:pt>
                <c:pt idx="10">
                  <c:v>275673.03514663468</c:v>
                </c:pt>
                <c:pt idx="11">
                  <c:v>275673.03514663468</c:v>
                </c:pt>
                <c:pt idx="12">
                  <c:v>275673.03514663473</c:v>
                </c:pt>
                <c:pt idx="13">
                  <c:v>275673.03514663468</c:v>
                </c:pt>
                <c:pt idx="14">
                  <c:v>3278155.6788966344</c:v>
                </c:pt>
                <c:pt idx="15">
                  <c:v>580623.03514663479</c:v>
                </c:pt>
                <c:pt idx="16">
                  <c:v>580623.03514663468</c:v>
                </c:pt>
                <c:pt idx="17">
                  <c:v>580623.03514663468</c:v>
                </c:pt>
                <c:pt idx="18">
                  <c:v>580623.03514663468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33536"/>
        <c:axId val="91928064"/>
      </c:barChart>
      <c:catAx>
        <c:axId val="880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928064"/>
        <c:crosses val="autoZero"/>
        <c:auto val="1"/>
        <c:lblAlgn val="ctr"/>
        <c:lblOffset val="100"/>
        <c:noMultiLvlLbl val="0"/>
      </c:catAx>
      <c:valAx>
        <c:axId val="91928064"/>
        <c:scaling>
          <c:orientation val="minMax"/>
          <c:max val="6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0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8575">
              <a:noFill/>
            </a:ln>
          </c:spPr>
          <c:invertIfNegative val="0"/>
          <c:cat>
            <c:numRef>
              <c:f>Charts!$C$3:$U$3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Charts!$C$4:$U$4</c:f>
              <c:numCache>
                <c:formatCode>#,##0</c:formatCode>
                <c:ptCount val="19"/>
                <c:pt idx="0">
                  <c:v>-1755788.6431092282</c:v>
                </c:pt>
                <c:pt idx="1">
                  <c:v>-470120.34868195903</c:v>
                </c:pt>
                <c:pt idx="2">
                  <c:v>-346772.35263677873</c:v>
                </c:pt>
                <c:pt idx="3">
                  <c:v>-171187.78007772431</c:v>
                </c:pt>
                <c:pt idx="4">
                  <c:v>-138099.66485336534</c:v>
                </c:pt>
                <c:pt idx="5">
                  <c:v>-41161.380478365318</c:v>
                </c:pt>
                <c:pt idx="6">
                  <c:v>35417.975771634665</c:v>
                </c:pt>
                <c:pt idx="7">
                  <c:v>84960.160146634676</c:v>
                </c:pt>
                <c:pt idx="8">
                  <c:v>136962.34764663468</c:v>
                </c:pt>
                <c:pt idx="9">
                  <c:v>150612.66014663468</c:v>
                </c:pt>
                <c:pt idx="10">
                  <c:v>151439.9518133013</c:v>
                </c:pt>
                <c:pt idx="11">
                  <c:v>155576.41014663468</c:v>
                </c:pt>
                <c:pt idx="12">
                  <c:v>152267.24347996805</c:v>
                </c:pt>
                <c:pt idx="13">
                  <c:v>146269.37889663468</c:v>
                </c:pt>
                <c:pt idx="14">
                  <c:v>3146379.6421319284</c:v>
                </c:pt>
                <c:pt idx="15">
                  <c:v>446738.2157021903</c:v>
                </c:pt>
                <c:pt idx="16">
                  <c:v>439626.41014663468</c:v>
                </c:pt>
                <c:pt idx="17">
                  <c:v>440671.41014663468</c:v>
                </c:pt>
                <c:pt idx="18">
                  <c:v>440671.41014663468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83200"/>
        <c:axId val="89284992"/>
      </c:barChart>
      <c:catAx>
        <c:axId val="892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284992"/>
        <c:crosses val="autoZero"/>
        <c:auto val="1"/>
        <c:lblAlgn val="ctr"/>
        <c:lblOffset val="100"/>
        <c:noMultiLvlLbl val="0"/>
      </c:catAx>
      <c:valAx>
        <c:axId val="89284992"/>
        <c:scaling>
          <c:orientation val="minMax"/>
          <c:max val="6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928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numRef>
              <c:f>Charts!$C$31:$U$31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Charts!$C$32:$U$32</c:f>
              <c:numCache>
                <c:formatCode>0.0</c:formatCode>
                <c:ptCount val="19"/>
                <c:pt idx="0">
                  <c:v>2.4816744520301834</c:v>
                </c:pt>
                <c:pt idx="1">
                  <c:v>1.1042040962989583</c:v>
                </c:pt>
                <c:pt idx="2">
                  <c:v>0.38339920948616601</c:v>
                </c:pt>
                <c:pt idx="3">
                  <c:v>0.60699463955132782</c:v>
                </c:pt>
                <c:pt idx="4">
                  <c:v>0.63968896369562067</c:v>
                </c:pt>
                <c:pt idx="5">
                  <c:v>0.74959812394803038</c:v>
                </c:pt>
                <c:pt idx="6">
                  <c:v>0.80732643682508465</c:v>
                </c:pt>
                <c:pt idx="7">
                  <c:v>0.85734030548883899</c:v>
                </c:pt>
                <c:pt idx="8">
                  <c:v>0.89294376572044565</c:v>
                </c:pt>
                <c:pt idx="9">
                  <c:v>0.80689304108276438</c:v>
                </c:pt>
                <c:pt idx="10">
                  <c:v>0.80167784565017775</c:v>
                </c:pt>
                <c:pt idx="11">
                  <c:v>0.77560186848724399</c:v>
                </c:pt>
                <c:pt idx="12">
                  <c:v>0.796462650217591</c:v>
                </c:pt>
                <c:pt idx="13">
                  <c:v>0.83427281710384471</c:v>
                </c:pt>
                <c:pt idx="14">
                  <c:v>0.84922815694729203</c:v>
                </c:pt>
                <c:pt idx="15">
                  <c:v>0.86252179236368964</c:v>
                </c:pt>
                <c:pt idx="16">
                  <c:v>0.90735417415259312</c:v>
                </c:pt>
                <c:pt idx="17">
                  <c:v>0.90076655886932555</c:v>
                </c:pt>
                <c:pt idx="18">
                  <c:v>0.90076655886932555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2160"/>
        <c:axId val="89306240"/>
      </c:lineChart>
      <c:catAx>
        <c:axId val="892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306240"/>
        <c:crosses val="autoZero"/>
        <c:auto val="1"/>
        <c:lblAlgn val="ctr"/>
        <c:lblOffset val="100"/>
        <c:noMultiLvlLbl val="0"/>
      </c:catAx>
      <c:valAx>
        <c:axId val="893062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929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10</xdr:row>
      <xdr:rowOff>76200</xdr:rowOff>
    </xdr:from>
    <xdr:to>
      <xdr:col>20</xdr:col>
      <xdr:colOff>180975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10</xdr:row>
      <xdr:rowOff>9525</xdr:rowOff>
    </xdr:from>
    <xdr:to>
      <xdr:col>9</xdr:col>
      <xdr:colOff>342900</xdr:colOff>
      <xdr:row>24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33</xdr:row>
      <xdr:rowOff>85725</xdr:rowOff>
    </xdr:from>
    <xdr:to>
      <xdr:col>9</xdr:col>
      <xdr:colOff>304800</xdr:colOff>
      <xdr:row>47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Laptop/AppData/Local/Microsoft/Windows/INetCache/Content.Outlook/7C6HBMJY/final%20Goldtree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&amp;L"/>
      <sheetName val="CF"/>
      <sheetName val="BS"/>
      <sheetName val="KPI"/>
      <sheetName val="ROI"/>
      <sheetName val="WC"/>
      <sheetName val="Operating Costs"/>
      <sheetName val="Fixed Assets"/>
      <sheetName val="Mgt"/>
      <sheetName val="FFB"/>
      <sheetName val="Capex"/>
      <sheetName val="Develop"/>
      <sheetName val="Field Costs"/>
      <sheetName val="Nursery"/>
      <sheetName val="Mill"/>
      <sheetName val="Sales"/>
      <sheetName val="Packaging"/>
      <sheetName val="Rates"/>
      <sheetName val="Tax"/>
      <sheetName val="Equity"/>
      <sheetName val="Loans"/>
      <sheetName val="Assumptions"/>
      <sheetName val="Constants"/>
      <sheetName val="P&amp;L - LC"/>
      <sheetName val="CF - LC"/>
      <sheetName val="BS - LC"/>
      <sheetName val="Capex - LC"/>
      <sheetName val="Fixed Assets - LC"/>
      <sheetName val="Sensitivity"/>
      <sheetName val="Drawdown"/>
      <sheetName val="PHATISA"/>
      <sheetName val="PHATISA-ASSUMPTIONS"/>
      <sheetName val="Updates"/>
      <sheetName val="BP Graphs"/>
      <sheetName val="Monthly CF"/>
      <sheetName val=""/>
      <sheetName val="Sheet2"/>
    </sheetNames>
    <sheetDataSet>
      <sheetData sheetId="0"/>
      <sheetData sheetId="1"/>
      <sheetData sheetId="2">
        <row r="20">
          <cell r="A20" t="str">
            <v>Operating Cash Inflow/(Outflow)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4">
          <cell r="B104">
            <v>10</v>
          </cell>
        </row>
      </sheetData>
      <sheetData sheetId="23">
        <row r="4">
          <cell r="B4" t="str">
            <v>Goldtree (SL) Ltd</v>
          </cell>
        </row>
        <row r="5">
          <cell r="B5">
            <v>2010</v>
          </cell>
        </row>
        <row r="6">
          <cell r="C6" t="str">
            <v>Current (Nominal) Terms</v>
          </cell>
        </row>
        <row r="12">
          <cell r="B12" t="str">
            <v>Tonnes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127"/>
  <sheetViews>
    <sheetView tabSelected="1" topLeftCell="A121" workbookViewId="0">
      <selection activeCell="D138" sqref="D138"/>
    </sheetView>
  </sheetViews>
  <sheetFormatPr defaultRowHeight="15" x14ac:dyDescent="0.25"/>
  <cols>
    <col min="1" max="1" width="2.7109375" customWidth="1"/>
    <col min="2" max="2" width="43.7109375" customWidth="1"/>
    <col min="3" max="3" width="17.85546875" customWidth="1"/>
    <col min="4" max="11" width="15.7109375" customWidth="1"/>
    <col min="12" max="12" width="11.85546875" customWidth="1"/>
    <col min="13" max="13" width="11" customWidth="1"/>
    <col min="14" max="14" width="11.7109375" customWidth="1"/>
  </cols>
  <sheetData>
    <row r="1" spans="2:11" ht="15.75" thickBot="1" x14ac:dyDescent="0.3"/>
    <row r="2" spans="2:11" ht="15.75" thickBot="1" x14ac:dyDescent="0.3">
      <c r="B2" s="132" t="s">
        <v>436</v>
      </c>
      <c r="C2" s="133"/>
      <c r="D2" s="133"/>
      <c r="E2" s="133"/>
      <c r="F2" s="133"/>
      <c r="G2" s="133"/>
      <c r="H2" s="133"/>
      <c r="I2" s="133"/>
      <c r="J2" s="133"/>
      <c r="K2" s="134"/>
    </row>
    <row r="4" spans="2:11" x14ac:dyDescent="0.25">
      <c r="B4" t="s">
        <v>437</v>
      </c>
    </row>
    <row r="5" spans="2:11" x14ac:dyDescent="0.25">
      <c r="B5" s="156" t="s">
        <v>438</v>
      </c>
      <c r="C5" s="155" t="s">
        <v>439</v>
      </c>
      <c r="D5" s="155" t="s">
        <v>440</v>
      </c>
      <c r="F5" s="149" t="s">
        <v>500</v>
      </c>
    </row>
    <row r="6" spans="2:11" x14ac:dyDescent="0.25">
      <c r="B6">
        <v>0</v>
      </c>
      <c r="C6" s="155" t="s">
        <v>441</v>
      </c>
      <c r="D6">
        <v>0</v>
      </c>
      <c r="F6" s="141">
        <v>1</v>
      </c>
      <c r="G6" s="219" t="s">
        <v>564</v>
      </c>
    </row>
    <row r="7" spans="2:11" x14ac:dyDescent="0.25">
      <c r="B7">
        <v>1</v>
      </c>
      <c r="C7" s="157" t="s">
        <v>514</v>
      </c>
      <c r="D7">
        <v>0</v>
      </c>
    </row>
    <row r="8" spans="2:11" x14ac:dyDescent="0.25">
      <c r="B8">
        <v>2</v>
      </c>
      <c r="C8" s="157" t="s">
        <v>515</v>
      </c>
      <c r="D8">
        <v>0</v>
      </c>
    </row>
    <row r="9" spans="2:11" x14ac:dyDescent="0.25">
      <c r="B9">
        <v>3</v>
      </c>
      <c r="C9" s="157" t="s">
        <v>516</v>
      </c>
      <c r="D9">
        <v>4</v>
      </c>
    </row>
    <row r="10" spans="2:11" x14ac:dyDescent="0.25">
      <c r="B10">
        <v>4</v>
      </c>
      <c r="C10" s="155"/>
      <c r="D10">
        <v>8</v>
      </c>
    </row>
    <row r="11" spans="2:11" x14ac:dyDescent="0.25">
      <c r="B11">
        <v>5</v>
      </c>
      <c r="C11" s="155"/>
      <c r="D11">
        <v>12</v>
      </c>
    </row>
    <row r="12" spans="2:11" x14ac:dyDescent="0.25">
      <c r="B12">
        <v>6</v>
      </c>
      <c r="D12">
        <v>15</v>
      </c>
    </row>
    <row r="13" spans="2:11" x14ac:dyDescent="0.25">
      <c r="B13">
        <v>7</v>
      </c>
      <c r="D13">
        <f>IF(F$6=0,15,F13)</f>
        <v>17</v>
      </c>
      <c r="F13">
        <v>17</v>
      </c>
    </row>
    <row r="14" spans="2:11" x14ac:dyDescent="0.25">
      <c r="B14">
        <v>8</v>
      </c>
      <c r="D14">
        <f t="shared" ref="D14:D22" si="0">IF(F$6=0,15,F14)</f>
        <v>19</v>
      </c>
      <c r="F14">
        <v>19</v>
      </c>
    </row>
    <row r="15" spans="2:11" x14ac:dyDescent="0.25">
      <c r="B15">
        <v>9</v>
      </c>
      <c r="D15">
        <f t="shared" si="0"/>
        <v>19</v>
      </c>
      <c r="F15">
        <v>19</v>
      </c>
    </row>
    <row r="16" spans="2:11" x14ac:dyDescent="0.25">
      <c r="B16">
        <v>10</v>
      </c>
      <c r="D16">
        <f t="shared" si="0"/>
        <v>19</v>
      </c>
      <c r="F16">
        <v>19</v>
      </c>
    </row>
    <row r="17" spans="2:10" x14ac:dyDescent="0.25">
      <c r="B17">
        <v>11</v>
      </c>
      <c r="D17">
        <f t="shared" si="0"/>
        <v>19</v>
      </c>
      <c r="F17">
        <v>19</v>
      </c>
    </row>
    <row r="18" spans="2:10" x14ac:dyDescent="0.25">
      <c r="B18">
        <v>12</v>
      </c>
      <c r="D18">
        <f t="shared" si="0"/>
        <v>19</v>
      </c>
      <c r="F18">
        <v>19</v>
      </c>
    </row>
    <row r="19" spans="2:10" x14ac:dyDescent="0.25">
      <c r="B19">
        <v>13</v>
      </c>
      <c r="D19">
        <f t="shared" si="0"/>
        <v>19</v>
      </c>
      <c r="F19">
        <v>19</v>
      </c>
    </row>
    <row r="20" spans="2:10" x14ac:dyDescent="0.25">
      <c r="B20">
        <v>14</v>
      </c>
      <c r="D20">
        <f t="shared" si="0"/>
        <v>19</v>
      </c>
      <c r="F20">
        <v>19</v>
      </c>
    </row>
    <row r="21" spans="2:10" x14ac:dyDescent="0.25">
      <c r="B21">
        <v>15</v>
      </c>
      <c r="D21">
        <f t="shared" si="0"/>
        <v>19</v>
      </c>
      <c r="F21">
        <v>19</v>
      </c>
    </row>
    <row r="22" spans="2:10" x14ac:dyDescent="0.25">
      <c r="B22">
        <v>16</v>
      </c>
      <c r="D22">
        <f t="shared" si="0"/>
        <v>19</v>
      </c>
      <c r="F22">
        <v>19</v>
      </c>
    </row>
    <row r="26" spans="2:10" x14ac:dyDescent="0.25">
      <c r="B26" s="1" t="s">
        <v>435</v>
      </c>
    </row>
    <row r="28" spans="2:10" x14ac:dyDescent="0.25">
      <c r="B28" s="14" t="s">
        <v>89</v>
      </c>
      <c r="C28" s="105"/>
      <c r="D28" s="105"/>
      <c r="E28" s="105"/>
      <c r="F28" s="105"/>
      <c r="G28" s="105"/>
    </row>
    <row r="29" spans="2:10" x14ac:dyDescent="0.25">
      <c r="B29" s="33" t="s">
        <v>442</v>
      </c>
      <c r="C29" s="29" t="s">
        <v>443</v>
      </c>
      <c r="D29" s="29" t="s">
        <v>444</v>
      </c>
      <c r="E29" s="29" t="s">
        <v>445</v>
      </c>
      <c r="F29" s="29" t="s">
        <v>446</v>
      </c>
      <c r="G29" s="29" t="s">
        <v>447</v>
      </c>
      <c r="H29" s="31" t="s">
        <v>86</v>
      </c>
      <c r="I29" s="158" t="s">
        <v>448</v>
      </c>
      <c r="J29" s="159" t="s">
        <v>449</v>
      </c>
    </row>
    <row r="30" spans="2:10" x14ac:dyDescent="0.25">
      <c r="B30" s="32" t="s">
        <v>85</v>
      </c>
      <c r="C30" s="152">
        <v>1.5</v>
      </c>
      <c r="D30" s="160">
        <v>1.6</v>
      </c>
      <c r="E30" s="161">
        <v>1.3</v>
      </c>
      <c r="F30" s="160">
        <f>D30+E30</f>
        <v>2.9000000000000004</v>
      </c>
      <c r="G30" s="162">
        <f>F30/10</f>
        <v>0.29000000000000004</v>
      </c>
      <c r="H30" s="160">
        <f>F30+G30</f>
        <v>3.1900000000000004</v>
      </c>
      <c r="I30" s="163">
        <f>1000/C30</f>
        <v>666.66666666666663</v>
      </c>
      <c r="J30" s="164">
        <f>((I30*H30/100)*0.95)+(H$52/100*0.05*1000)</f>
        <v>24.218333333333334</v>
      </c>
    </row>
    <row r="31" spans="2:10" x14ac:dyDescent="0.25">
      <c r="B31" s="32">
        <v>4</v>
      </c>
      <c r="C31" s="153">
        <v>3</v>
      </c>
      <c r="D31" s="165">
        <v>2</v>
      </c>
      <c r="E31" s="161">
        <v>1.6</v>
      </c>
      <c r="F31" s="165">
        <f t="shared" ref="F31:F51" si="1">D31+E31</f>
        <v>3.6</v>
      </c>
      <c r="G31" s="162">
        <f t="shared" ref="G31:G52" si="2">F31/10</f>
        <v>0.36</v>
      </c>
      <c r="H31" s="165">
        <f t="shared" ref="H31:H52" si="3">F31+G31</f>
        <v>3.96</v>
      </c>
      <c r="I31" s="163">
        <f t="shared" ref="I31:I51" si="4">1000/C31</f>
        <v>333.33333333333331</v>
      </c>
      <c r="J31" s="166">
        <f t="shared" ref="J31:J51" si="5">((I31*H31/100)*0.95)+(H$52/100*0.05*1000)</f>
        <v>16.555</v>
      </c>
    </row>
    <row r="32" spans="2:10" x14ac:dyDescent="0.25">
      <c r="B32" s="32">
        <v>5</v>
      </c>
      <c r="C32" s="153">
        <v>4</v>
      </c>
      <c r="D32" s="165">
        <v>2.1</v>
      </c>
      <c r="E32" s="161">
        <v>1.7</v>
      </c>
      <c r="F32" s="165">
        <f t="shared" si="1"/>
        <v>3.8</v>
      </c>
      <c r="G32" s="162">
        <f t="shared" si="2"/>
        <v>0.38</v>
      </c>
      <c r="H32" s="165">
        <f t="shared" si="3"/>
        <v>4.18</v>
      </c>
      <c r="I32" s="163">
        <f t="shared" si="4"/>
        <v>250</v>
      </c>
      <c r="J32" s="166">
        <f t="shared" si="5"/>
        <v>13.942499999999999</v>
      </c>
    </row>
    <row r="33" spans="2:10" x14ac:dyDescent="0.25">
      <c r="B33" s="32">
        <v>6</v>
      </c>
      <c r="C33" s="153">
        <v>5</v>
      </c>
      <c r="D33" s="165">
        <v>2.25</v>
      </c>
      <c r="E33" s="161">
        <v>1.75</v>
      </c>
      <c r="F33" s="165">
        <f t="shared" si="1"/>
        <v>4</v>
      </c>
      <c r="G33" s="162">
        <f t="shared" si="2"/>
        <v>0.4</v>
      </c>
      <c r="H33" s="165">
        <f t="shared" si="3"/>
        <v>4.4000000000000004</v>
      </c>
      <c r="I33" s="163">
        <f t="shared" si="4"/>
        <v>200</v>
      </c>
      <c r="J33" s="166">
        <f t="shared" si="5"/>
        <v>12.375</v>
      </c>
    </row>
    <row r="34" spans="2:10" x14ac:dyDescent="0.25">
      <c r="B34" s="32">
        <v>7</v>
      </c>
      <c r="C34" s="153">
        <v>6</v>
      </c>
      <c r="D34" s="165">
        <v>2.5</v>
      </c>
      <c r="E34" s="161">
        <v>2</v>
      </c>
      <c r="F34" s="165">
        <f t="shared" si="1"/>
        <v>4.5</v>
      </c>
      <c r="G34" s="162">
        <f t="shared" si="2"/>
        <v>0.45</v>
      </c>
      <c r="H34" s="165">
        <f t="shared" si="3"/>
        <v>4.95</v>
      </c>
      <c r="I34" s="163">
        <f t="shared" si="4"/>
        <v>166.66666666666666</v>
      </c>
      <c r="J34" s="166">
        <f t="shared" si="5"/>
        <v>11.852499999999999</v>
      </c>
    </row>
    <row r="35" spans="2:10" x14ac:dyDescent="0.25">
      <c r="B35" s="32">
        <v>8</v>
      </c>
      <c r="C35" s="153">
        <v>8</v>
      </c>
      <c r="D35" s="165">
        <v>3</v>
      </c>
      <c r="E35" s="161">
        <v>2.5</v>
      </c>
      <c r="F35" s="165">
        <f t="shared" si="1"/>
        <v>5.5</v>
      </c>
      <c r="G35" s="162">
        <f t="shared" si="2"/>
        <v>0.55000000000000004</v>
      </c>
      <c r="H35" s="165">
        <f t="shared" si="3"/>
        <v>6.05</v>
      </c>
      <c r="I35" s="163">
        <f t="shared" si="4"/>
        <v>125</v>
      </c>
      <c r="J35" s="166">
        <f t="shared" si="5"/>
        <v>11.199375</v>
      </c>
    </row>
    <row r="36" spans="2:10" x14ac:dyDescent="0.25">
      <c r="B36" s="32">
        <v>9</v>
      </c>
      <c r="C36" s="153">
        <v>10</v>
      </c>
      <c r="D36" s="165">
        <v>3</v>
      </c>
      <c r="E36" s="161">
        <v>2.5</v>
      </c>
      <c r="F36" s="165">
        <f t="shared" si="1"/>
        <v>5.5</v>
      </c>
      <c r="G36" s="162">
        <f t="shared" si="2"/>
        <v>0.55000000000000004</v>
      </c>
      <c r="H36" s="165">
        <f t="shared" si="3"/>
        <v>6.05</v>
      </c>
      <c r="I36" s="163">
        <f t="shared" si="4"/>
        <v>100</v>
      </c>
      <c r="J36" s="166">
        <f t="shared" si="5"/>
        <v>9.7624999999999993</v>
      </c>
    </row>
    <row r="37" spans="2:10" x14ac:dyDescent="0.25">
      <c r="B37" s="32">
        <v>10</v>
      </c>
      <c r="C37" s="153">
        <v>12</v>
      </c>
      <c r="D37" s="165">
        <v>3.5</v>
      </c>
      <c r="E37" s="161">
        <v>3</v>
      </c>
      <c r="F37" s="165">
        <f t="shared" si="1"/>
        <v>6.5</v>
      </c>
      <c r="G37" s="162">
        <f t="shared" si="2"/>
        <v>0.65</v>
      </c>
      <c r="H37" s="165">
        <f t="shared" si="3"/>
        <v>7.15</v>
      </c>
      <c r="I37" s="163">
        <f t="shared" si="4"/>
        <v>83.333333333333329</v>
      </c>
      <c r="J37" s="166">
        <f t="shared" si="5"/>
        <v>9.675416666666667</v>
      </c>
    </row>
    <row r="38" spans="2:10" x14ac:dyDescent="0.25">
      <c r="B38" s="32">
        <v>11</v>
      </c>
      <c r="C38" s="153">
        <v>14</v>
      </c>
      <c r="D38" s="165">
        <v>4</v>
      </c>
      <c r="E38" s="161">
        <v>3</v>
      </c>
      <c r="F38" s="165">
        <f t="shared" si="1"/>
        <v>7</v>
      </c>
      <c r="G38" s="162">
        <f t="shared" si="2"/>
        <v>0.7</v>
      </c>
      <c r="H38" s="165">
        <f t="shared" si="3"/>
        <v>7.7</v>
      </c>
      <c r="I38" s="163">
        <f t="shared" si="4"/>
        <v>71.428571428571431</v>
      </c>
      <c r="J38" s="166">
        <f t="shared" si="5"/>
        <v>9.24</v>
      </c>
    </row>
    <row r="39" spans="2:10" x14ac:dyDescent="0.25">
      <c r="B39" s="32">
        <v>12</v>
      </c>
      <c r="C39" s="153">
        <v>15</v>
      </c>
      <c r="D39" s="165">
        <v>4.5</v>
      </c>
      <c r="E39" s="161">
        <v>3.5</v>
      </c>
      <c r="F39" s="165">
        <f t="shared" si="1"/>
        <v>8</v>
      </c>
      <c r="G39" s="162">
        <f t="shared" si="2"/>
        <v>0.8</v>
      </c>
      <c r="H39" s="165">
        <f t="shared" si="3"/>
        <v>8.8000000000000007</v>
      </c>
      <c r="I39" s="163">
        <f t="shared" si="4"/>
        <v>66.666666666666671</v>
      </c>
      <c r="J39" s="166">
        <f t="shared" si="5"/>
        <v>9.5883333333333347</v>
      </c>
    </row>
    <row r="40" spans="2:10" x14ac:dyDescent="0.25">
      <c r="B40" s="32">
        <v>13</v>
      </c>
      <c r="C40" s="153">
        <v>16</v>
      </c>
      <c r="D40" s="165">
        <v>5.5</v>
      </c>
      <c r="E40" s="161">
        <v>4</v>
      </c>
      <c r="F40" s="165">
        <f t="shared" si="1"/>
        <v>9.5</v>
      </c>
      <c r="G40" s="162">
        <f t="shared" si="2"/>
        <v>0.95</v>
      </c>
      <c r="H40" s="165">
        <f t="shared" si="3"/>
        <v>10.45</v>
      </c>
      <c r="I40" s="163">
        <f t="shared" si="4"/>
        <v>62.5</v>
      </c>
      <c r="J40" s="166">
        <f t="shared" si="5"/>
        <v>10.219687499999999</v>
      </c>
    </row>
    <row r="41" spans="2:10" x14ac:dyDescent="0.25">
      <c r="B41" s="32">
        <v>14</v>
      </c>
      <c r="C41" s="153">
        <v>17</v>
      </c>
      <c r="D41" s="165">
        <v>6</v>
      </c>
      <c r="E41" s="161">
        <v>4.5</v>
      </c>
      <c r="F41" s="165">
        <f t="shared" si="1"/>
        <v>10.5</v>
      </c>
      <c r="G41" s="162">
        <f t="shared" si="2"/>
        <v>1.05</v>
      </c>
      <c r="H41" s="165">
        <f t="shared" si="3"/>
        <v>11.55</v>
      </c>
      <c r="I41" s="163">
        <f t="shared" si="4"/>
        <v>58.823529411764703</v>
      </c>
      <c r="J41" s="166">
        <f t="shared" si="5"/>
        <v>10.469411764705882</v>
      </c>
    </row>
    <row r="42" spans="2:10" x14ac:dyDescent="0.25">
      <c r="B42" s="32">
        <v>15</v>
      </c>
      <c r="C42" s="153">
        <v>18</v>
      </c>
      <c r="D42" s="165">
        <v>6</v>
      </c>
      <c r="E42" s="161">
        <v>5.5</v>
      </c>
      <c r="F42" s="165">
        <f t="shared" si="1"/>
        <v>11.5</v>
      </c>
      <c r="G42" s="162">
        <f t="shared" si="2"/>
        <v>1.1499999999999999</v>
      </c>
      <c r="H42" s="165">
        <f t="shared" si="3"/>
        <v>12.65</v>
      </c>
      <c r="I42" s="163">
        <f t="shared" si="4"/>
        <v>55.555555555555557</v>
      </c>
      <c r="J42" s="166">
        <f t="shared" si="5"/>
        <v>10.691388888888889</v>
      </c>
    </row>
    <row r="43" spans="2:10" x14ac:dyDescent="0.25">
      <c r="B43" s="32">
        <v>16</v>
      </c>
      <c r="C43" s="153">
        <v>19</v>
      </c>
      <c r="D43" s="165">
        <v>7.5</v>
      </c>
      <c r="E43" s="161">
        <v>6</v>
      </c>
      <c r="F43" s="165">
        <f t="shared" si="1"/>
        <v>13.5</v>
      </c>
      <c r="G43" s="162">
        <f t="shared" si="2"/>
        <v>1.35</v>
      </c>
      <c r="H43" s="165">
        <f t="shared" si="3"/>
        <v>14.85</v>
      </c>
      <c r="I43" s="163">
        <f t="shared" si="4"/>
        <v>52.631578947368418</v>
      </c>
      <c r="J43" s="166">
        <f t="shared" si="5"/>
        <v>11.440000000000001</v>
      </c>
    </row>
    <row r="44" spans="2:10" x14ac:dyDescent="0.25">
      <c r="B44" s="32">
        <v>17</v>
      </c>
      <c r="C44" s="153">
        <v>20</v>
      </c>
      <c r="D44" s="165">
        <v>8</v>
      </c>
      <c r="E44" s="161">
        <v>6</v>
      </c>
      <c r="F44" s="165">
        <f t="shared" si="1"/>
        <v>14</v>
      </c>
      <c r="G44" s="162">
        <f t="shared" si="2"/>
        <v>1.4</v>
      </c>
      <c r="H44" s="165">
        <f t="shared" si="3"/>
        <v>15.4</v>
      </c>
      <c r="I44" s="163">
        <f t="shared" si="4"/>
        <v>50</v>
      </c>
      <c r="J44" s="166">
        <f t="shared" si="5"/>
        <v>11.33</v>
      </c>
    </row>
    <row r="45" spans="2:10" x14ac:dyDescent="0.25">
      <c r="B45" s="32">
        <v>18</v>
      </c>
      <c r="C45" s="153">
        <v>20</v>
      </c>
      <c r="D45" s="165">
        <v>8</v>
      </c>
      <c r="E45" s="161">
        <v>6</v>
      </c>
      <c r="F45" s="165">
        <f t="shared" si="1"/>
        <v>14</v>
      </c>
      <c r="G45" s="162">
        <f t="shared" si="2"/>
        <v>1.4</v>
      </c>
      <c r="H45" s="165">
        <f t="shared" si="3"/>
        <v>15.4</v>
      </c>
      <c r="I45" s="163">
        <f t="shared" si="4"/>
        <v>50</v>
      </c>
      <c r="J45" s="166">
        <f t="shared" si="5"/>
        <v>11.33</v>
      </c>
    </row>
    <row r="46" spans="2:10" x14ac:dyDescent="0.25">
      <c r="B46" s="32">
        <v>19</v>
      </c>
      <c r="C46" s="153">
        <v>21</v>
      </c>
      <c r="D46" s="165">
        <v>8.5</v>
      </c>
      <c r="E46" s="161">
        <v>7</v>
      </c>
      <c r="F46" s="165">
        <f t="shared" si="1"/>
        <v>15.5</v>
      </c>
      <c r="G46" s="162">
        <f t="shared" si="2"/>
        <v>1.55</v>
      </c>
      <c r="H46" s="165">
        <f t="shared" si="3"/>
        <v>17.05</v>
      </c>
      <c r="I46" s="163">
        <f t="shared" si="4"/>
        <v>47.61904761904762</v>
      </c>
      <c r="J46" s="166">
        <f t="shared" si="5"/>
        <v>11.728095238095237</v>
      </c>
    </row>
    <row r="47" spans="2:10" x14ac:dyDescent="0.25">
      <c r="B47" s="32">
        <v>20</v>
      </c>
      <c r="C47" s="153">
        <v>21</v>
      </c>
      <c r="D47" s="165">
        <v>8.5</v>
      </c>
      <c r="E47" s="161">
        <v>7</v>
      </c>
      <c r="F47" s="165">
        <f t="shared" si="1"/>
        <v>15.5</v>
      </c>
      <c r="G47" s="162">
        <f t="shared" si="2"/>
        <v>1.55</v>
      </c>
      <c r="H47" s="165">
        <f t="shared" si="3"/>
        <v>17.05</v>
      </c>
      <c r="I47" s="163">
        <f t="shared" si="4"/>
        <v>47.61904761904762</v>
      </c>
      <c r="J47" s="166">
        <f t="shared" si="5"/>
        <v>11.728095238095237</v>
      </c>
    </row>
    <row r="48" spans="2:10" x14ac:dyDescent="0.25">
      <c r="B48" s="32">
        <v>21</v>
      </c>
      <c r="C48" s="153">
        <v>22</v>
      </c>
      <c r="D48" s="165">
        <v>9</v>
      </c>
      <c r="E48" s="161">
        <v>7</v>
      </c>
      <c r="F48" s="165">
        <f t="shared" si="1"/>
        <v>16</v>
      </c>
      <c r="G48" s="162">
        <f t="shared" si="2"/>
        <v>1.6</v>
      </c>
      <c r="H48" s="165">
        <f t="shared" si="3"/>
        <v>17.600000000000001</v>
      </c>
      <c r="I48" s="163">
        <f t="shared" si="4"/>
        <v>45.454545454545453</v>
      </c>
      <c r="J48" s="166">
        <f t="shared" si="5"/>
        <v>11.615</v>
      </c>
    </row>
    <row r="49" spans="2:13" x14ac:dyDescent="0.25">
      <c r="B49" s="32">
        <v>22</v>
      </c>
      <c r="C49" s="153">
        <v>22</v>
      </c>
      <c r="D49" s="165">
        <v>9</v>
      </c>
      <c r="E49" s="161">
        <v>7</v>
      </c>
      <c r="F49" s="165">
        <f t="shared" si="1"/>
        <v>16</v>
      </c>
      <c r="G49" s="162">
        <f t="shared" si="2"/>
        <v>1.6</v>
      </c>
      <c r="H49" s="165">
        <f t="shared" si="3"/>
        <v>17.600000000000001</v>
      </c>
      <c r="I49" s="163">
        <f t="shared" si="4"/>
        <v>45.454545454545453</v>
      </c>
      <c r="J49" s="166">
        <f t="shared" si="5"/>
        <v>11.615</v>
      </c>
    </row>
    <row r="50" spans="2:13" x14ac:dyDescent="0.25">
      <c r="B50" s="32">
        <v>23</v>
      </c>
      <c r="C50" s="153">
        <v>23</v>
      </c>
      <c r="D50" s="165">
        <v>10</v>
      </c>
      <c r="E50" s="161">
        <v>7.5</v>
      </c>
      <c r="F50" s="165">
        <f t="shared" si="1"/>
        <v>17.5</v>
      </c>
      <c r="G50" s="162">
        <f t="shared" si="2"/>
        <v>1.75</v>
      </c>
      <c r="H50" s="165">
        <f t="shared" si="3"/>
        <v>19.25</v>
      </c>
      <c r="I50" s="163">
        <f t="shared" si="4"/>
        <v>43.478260869565219</v>
      </c>
      <c r="J50" s="166">
        <f t="shared" si="5"/>
        <v>11.966086956521739</v>
      </c>
    </row>
    <row r="51" spans="2:13" x14ac:dyDescent="0.25">
      <c r="B51" s="167">
        <v>24</v>
      </c>
      <c r="C51" s="154">
        <v>23</v>
      </c>
      <c r="D51" s="168">
        <v>10</v>
      </c>
      <c r="E51" s="169">
        <v>7.5</v>
      </c>
      <c r="F51" s="168">
        <f t="shared" si="1"/>
        <v>17.5</v>
      </c>
      <c r="G51" s="170">
        <f t="shared" si="2"/>
        <v>1.75</v>
      </c>
      <c r="H51" s="165">
        <f t="shared" si="3"/>
        <v>19.25</v>
      </c>
      <c r="I51" s="163">
        <f t="shared" si="4"/>
        <v>43.478260869565219</v>
      </c>
      <c r="J51" s="171">
        <f t="shared" si="5"/>
        <v>11.966086956521739</v>
      </c>
    </row>
    <row r="52" spans="2:13" x14ac:dyDescent="0.25">
      <c r="B52" s="172" t="s">
        <v>87</v>
      </c>
      <c r="C52" s="173">
        <v>0.05</v>
      </c>
      <c r="D52" s="28">
        <v>1.5</v>
      </c>
      <c r="E52" s="139">
        <v>5.8</v>
      </c>
      <c r="F52" s="28">
        <v>7.3</v>
      </c>
      <c r="G52" s="139">
        <f t="shared" si="2"/>
        <v>0.73</v>
      </c>
      <c r="H52" s="174">
        <f t="shared" si="3"/>
        <v>8.0299999999999994</v>
      </c>
      <c r="I52" s="175"/>
      <c r="J52" s="176"/>
    </row>
    <row r="55" spans="2:13" x14ac:dyDescent="0.25">
      <c r="B55" s="14" t="s">
        <v>77</v>
      </c>
      <c r="C55" s="15"/>
      <c r="D55" s="15"/>
      <c r="E55" s="2"/>
      <c r="F55" s="2"/>
      <c r="G55" s="2"/>
      <c r="H55" s="2"/>
      <c r="I55" s="2"/>
      <c r="J55" s="2"/>
      <c r="K55" s="2"/>
      <c r="L55" s="2"/>
    </row>
    <row r="56" spans="2:13" x14ac:dyDescent="0.25">
      <c r="B56" s="1" t="s">
        <v>90</v>
      </c>
      <c r="C56" s="2"/>
      <c r="D56" s="2"/>
      <c r="E56" s="2"/>
      <c r="F56" s="129"/>
      <c r="G56" s="129"/>
      <c r="H56" s="129"/>
      <c r="I56" s="129"/>
      <c r="J56" s="129"/>
      <c r="K56" s="129"/>
      <c r="L56" s="129"/>
      <c r="M56" s="129"/>
    </row>
    <row r="57" spans="2:13" x14ac:dyDescent="0.25">
      <c r="B57" s="2" t="s">
        <v>547</v>
      </c>
      <c r="C57" s="2"/>
      <c r="D57" s="229">
        <f>+'Assumptions &amp; Costs'!E114</f>
        <v>17</v>
      </c>
      <c r="E57" s="12" t="s">
        <v>450</v>
      </c>
      <c r="F57" s="129"/>
      <c r="G57" s="129"/>
      <c r="H57" s="129"/>
      <c r="I57" s="129"/>
      <c r="J57" s="129"/>
      <c r="K57" s="129"/>
      <c r="L57" s="129"/>
      <c r="M57" s="129"/>
    </row>
    <row r="58" spans="2:13" x14ac:dyDescent="0.25">
      <c r="B58" s="2" t="s">
        <v>88</v>
      </c>
      <c r="C58" s="2"/>
      <c r="D58" s="17">
        <f>50/200</f>
        <v>0.25</v>
      </c>
      <c r="E58" s="18" t="s">
        <v>450</v>
      </c>
      <c r="F58" s="129"/>
      <c r="G58" s="129"/>
      <c r="H58" s="129"/>
      <c r="I58" s="129"/>
      <c r="J58" s="129"/>
      <c r="K58" s="129"/>
      <c r="L58" s="129"/>
      <c r="M58" s="129"/>
    </row>
    <row r="59" spans="2:13" x14ac:dyDescent="0.25">
      <c r="B59" s="2" t="s">
        <v>46</v>
      </c>
      <c r="C59" s="43">
        <v>0.1</v>
      </c>
      <c r="D59" s="23">
        <v>0</v>
      </c>
      <c r="E59" s="18" t="s">
        <v>91</v>
      </c>
      <c r="F59" s="129"/>
      <c r="G59" s="129"/>
      <c r="H59" s="129"/>
      <c r="I59" s="129"/>
      <c r="J59" s="129"/>
      <c r="K59" s="129"/>
      <c r="L59" s="129"/>
      <c r="M59" s="129"/>
    </row>
    <row r="60" spans="2:13" x14ac:dyDescent="0.25">
      <c r="B60" s="2" t="s">
        <v>47</v>
      </c>
      <c r="C60" s="43">
        <v>0.05</v>
      </c>
      <c r="D60" s="26">
        <v>0</v>
      </c>
      <c r="E60" s="20" t="s">
        <v>91</v>
      </c>
      <c r="F60" s="129"/>
      <c r="G60" s="129"/>
      <c r="H60" s="129"/>
      <c r="I60" s="129"/>
      <c r="J60" s="129"/>
      <c r="K60" s="129"/>
      <c r="L60" s="129"/>
      <c r="M60" s="129"/>
    </row>
    <row r="61" spans="2:13" x14ac:dyDescent="0.25">
      <c r="F61" s="129"/>
      <c r="G61" s="129"/>
      <c r="H61" s="129"/>
      <c r="I61" s="129"/>
      <c r="J61" s="129"/>
      <c r="K61" s="129"/>
      <c r="L61" s="129"/>
      <c r="M61" s="129"/>
    </row>
    <row r="63" spans="2:13" x14ac:dyDescent="0.25">
      <c r="B63" s="1" t="s">
        <v>45</v>
      </c>
      <c r="C63" s="9" t="s">
        <v>392</v>
      </c>
      <c r="D63" s="190">
        <f>IF(+F6=0,50%,100%)</f>
        <v>1</v>
      </c>
      <c r="F63" s="2"/>
      <c r="J63" t="s">
        <v>553</v>
      </c>
    </row>
    <row r="64" spans="2:13" x14ac:dyDescent="0.25">
      <c r="B64" s="2" t="s">
        <v>63</v>
      </c>
      <c r="C64" s="36">
        <v>5</v>
      </c>
      <c r="D64" s="2" t="s">
        <v>50</v>
      </c>
      <c r="E64" s="129"/>
      <c r="F64" s="36"/>
      <c r="J64" s="220" t="s">
        <v>474</v>
      </c>
      <c r="K64" s="221">
        <v>370</v>
      </c>
      <c r="L64" s="222" t="s">
        <v>52</v>
      </c>
    </row>
    <row r="65" spans="2:12" x14ac:dyDescent="0.25">
      <c r="B65" s="129" t="s">
        <v>9</v>
      </c>
      <c r="C65" s="36">
        <v>10</v>
      </c>
      <c r="D65" s="2" t="s">
        <v>48</v>
      </c>
      <c r="E65" s="129"/>
      <c r="F65" s="117"/>
      <c r="J65" s="223" t="s">
        <v>475</v>
      </c>
      <c r="K65" s="224">
        <v>2037</v>
      </c>
      <c r="L65" s="225" t="s">
        <v>52</v>
      </c>
    </row>
    <row r="66" spans="2:12" x14ac:dyDescent="0.25">
      <c r="B66" s="2" t="s">
        <v>49</v>
      </c>
      <c r="C66" s="117">
        <v>0.5</v>
      </c>
      <c r="D66" s="2" t="s">
        <v>57</v>
      </c>
      <c r="E66" s="129"/>
      <c r="F66" s="117"/>
      <c r="J66" s="223" t="s">
        <v>476</v>
      </c>
      <c r="K66" s="224">
        <v>397</v>
      </c>
      <c r="L66" s="225" t="s">
        <v>52</v>
      </c>
    </row>
    <row r="67" spans="2:12" x14ac:dyDescent="0.25">
      <c r="B67" s="129" t="s">
        <v>425</v>
      </c>
      <c r="C67" s="36">
        <f>+K65*D63</f>
        <v>2037</v>
      </c>
      <c r="D67" s="129" t="s">
        <v>52</v>
      </c>
      <c r="E67" s="35" t="s">
        <v>473</v>
      </c>
      <c r="F67" s="117"/>
      <c r="J67" s="223" t="s">
        <v>477</v>
      </c>
      <c r="K67" s="224">
        <v>416</v>
      </c>
      <c r="L67" s="225" t="s">
        <v>52</v>
      </c>
    </row>
    <row r="68" spans="2:12" x14ac:dyDescent="0.25">
      <c r="B68" s="129" t="s">
        <v>451</v>
      </c>
      <c r="C68" s="36">
        <f>+K69*D63</f>
        <v>506</v>
      </c>
      <c r="D68" s="2" t="s">
        <v>52</v>
      </c>
      <c r="E68" s="35" t="s">
        <v>473</v>
      </c>
      <c r="F68" s="36"/>
      <c r="J68" s="223" t="s">
        <v>478</v>
      </c>
      <c r="K68" s="224">
        <v>511</v>
      </c>
      <c r="L68" s="225" t="s">
        <v>52</v>
      </c>
    </row>
    <row r="69" spans="2:12" x14ac:dyDescent="0.25">
      <c r="B69" s="2" t="s">
        <v>51</v>
      </c>
      <c r="C69" s="36">
        <f>+K70*D63</f>
        <v>381</v>
      </c>
      <c r="D69" s="2" t="s">
        <v>52</v>
      </c>
      <c r="E69" s="35" t="s">
        <v>473</v>
      </c>
      <c r="F69" s="36"/>
      <c r="J69" s="223" t="s">
        <v>479</v>
      </c>
      <c r="K69" s="224">
        <v>506</v>
      </c>
      <c r="L69" s="225" t="s">
        <v>52</v>
      </c>
    </row>
    <row r="70" spans="2:12" x14ac:dyDescent="0.25">
      <c r="B70" s="2" t="s">
        <v>92</v>
      </c>
      <c r="C70" s="36">
        <f>800*D63</f>
        <v>800</v>
      </c>
      <c r="D70" s="2" t="s">
        <v>52</v>
      </c>
      <c r="E70" s="35" t="s">
        <v>473</v>
      </c>
      <c r="F70" s="36"/>
      <c r="J70" s="223" t="s">
        <v>480</v>
      </c>
      <c r="K70" s="224">
        <v>381</v>
      </c>
      <c r="L70" s="225" t="s">
        <v>52</v>
      </c>
    </row>
    <row r="71" spans="2:12" x14ac:dyDescent="0.25">
      <c r="B71" s="2" t="s">
        <v>429</v>
      </c>
      <c r="C71" s="36">
        <f>+K66*D63</f>
        <v>397</v>
      </c>
      <c r="D71" s="2" t="s">
        <v>52</v>
      </c>
      <c r="E71" s="35" t="s">
        <v>473</v>
      </c>
      <c r="F71" s="65"/>
      <c r="J71" s="223" t="s">
        <v>481</v>
      </c>
      <c r="K71" s="224">
        <v>402</v>
      </c>
      <c r="L71" s="225" t="s">
        <v>52</v>
      </c>
    </row>
    <row r="72" spans="2:12" x14ac:dyDescent="0.25">
      <c r="B72" t="s">
        <v>540</v>
      </c>
      <c r="C72" s="2">
        <f>1250/20</f>
        <v>62.5</v>
      </c>
      <c r="D72" s="129" t="s">
        <v>52</v>
      </c>
      <c r="E72" s="35" t="s">
        <v>539</v>
      </c>
      <c r="F72" s="36"/>
      <c r="J72" s="226" t="s">
        <v>482</v>
      </c>
      <c r="K72" s="227">
        <v>325</v>
      </c>
      <c r="L72" s="228" t="s">
        <v>52</v>
      </c>
    </row>
    <row r="73" spans="2:12" x14ac:dyDescent="0.25">
      <c r="B73" s="2" t="s">
        <v>66</v>
      </c>
      <c r="C73" s="36">
        <v>100</v>
      </c>
      <c r="D73" s="2" t="s">
        <v>67</v>
      </c>
      <c r="E73" s="129"/>
      <c r="F73" s="36"/>
    </row>
    <row r="74" spans="2:12" x14ac:dyDescent="0.25">
      <c r="B74" s="2"/>
      <c r="C74" s="36"/>
      <c r="D74" s="2"/>
      <c r="E74" s="2"/>
      <c r="F74" s="2"/>
      <c r="G74" s="35"/>
    </row>
    <row r="75" spans="2:12" x14ac:dyDescent="0.25">
      <c r="B75" s="2" t="s">
        <v>102</v>
      </c>
      <c r="C75" s="36">
        <v>125</v>
      </c>
      <c r="D75" s="2" t="s">
        <v>103</v>
      </c>
      <c r="E75" s="82">
        <v>6</v>
      </c>
      <c r="F75" s="2" t="s">
        <v>105</v>
      </c>
      <c r="H75" s="36"/>
      <c r="I75" s="129"/>
      <c r="J75" s="82"/>
      <c r="K75" s="129"/>
    </row>
    <row r="76" spans="2:12" x14ac:dyDescent="0.25">
      <c r="B76" s="2" t="s">
        <v>109</v>
      </c>
      <c r="C76" s="36">
        <v>90</v>
      </c>
      <c r="D76" s="54" t="s">
        <v>103</v>
      </c>
      <c r="E76" s="82">
        <v>5.5</v>
      </c>
      <c r="F76" s="2" t="s">
        <v>105</v>
      </c>
      <c r="G76" s="129"/>
      <c r="H76" s="36"/>
      <c r="I76" s="54"/>
      <c r="J76" s="82"/>
      <c r="K76" s="129"/>
    </row>
    <row r="77" spans="2:12" x14ac:dyDescent="0.25">
      <c r="B77" s="2" t="s">
        <v>394</v>
      </c>
      <c r="C77" s="117">
        <v>0.22</v>
      </c>
      <c r="D77" s="54" t="s">
        <v>104</v>
      </c>
      <c r="E77" s="2"/>
      <c r="F77" s="2"/>
      <c r="G77" s="129"/>
      <c r="H77" s="36"/>
      <c r="I77" s="54"/>
      <c r="J77" s="177"/>
    </row>
    <row r="78" spans="2:12" x14ac:dyDescent="0.25">
      <c r="B78" s="2" t="s">
        <v>30</v>
      </c>
      <c r="C78" s="36">
        <v>250</v>
      </c>
      <c r="D78" s="54"/>
      <c r="E78" s="82">
        <v>7.5</v>
      </c>
      <c r="F78" s="2"/>
      <c r="G78" s="129"/>
      <c r="H78" s="36"/>
      <c r="I78" s="54"/>
      <c r="J78" s="82"/>
      <c r="K78" s="129"/>
    </row>
    <row r="79" spans="2:12" x14ac:dyDescent="0.25">
      <c r="B79" s="2" t="s">
        <v>395</v>
      </c>
      <c r="C79" s="36">
        <v>600</v>
      </c>
      <c r="D79" s="54" t="s">
        <v>103</v>
      </c>
      <c r="E79" s="82">
        <f>750/26</f>
        <v>28.846153846153847</v>
      </c>
      <c r="F79" s="2" t="s">
        <v>105</v>
      </c>
      <c r="G79" s="129"/>
      <c r="H79" s="178"/>
      <c r="I79" s="54"/>
    </row>
    <row r="80" spans="2:12" x14ac:dyDescent="0.25">
      <c r="B80" s="129" t="s">
        <v>544</v>
      </c>
      <c r="C80" s="36">
        <v>1500</v>
      </c>
      <c r="D80" s="54" t="s">
        <v>103</v>
      </c>
      <c r="E80" s="82"/>
      <c r="F80" s="129"/>
      <c r="G80" s="129"/>
      <c r="H80" s="178"/>
      <c r="I80" s="54"/>
    </row>
    <row r="81" spans="2:8" x14ac:dyDescent="0.25">
      <c r="B81" s="129" t="s">
        <v>452</v>
      </c>
      <c r="C81" s="178">
        <v>4.4999999999999998E-2</v>
      </c>
      <c r="D81" s="54"/>
      <c r="E81" s="2"/>
      <c r="F81" s="2"/>
      <c r="G81" s="2"/>
    </row>
    <row r="82" spans="2:8" x14ac:dyDescent="0.25">
      <c r="B82" s="2"/>
      <c r="C82" s="84"/>
      <c r="D82" s="54"/>
      <c r="E82" s="2"/>
      <c r="F82" s="2"/>
      <c r="G82" s="2"/>
    </row>
    <row r="83" spans="2:8" x14ac:dyDescent="0.25">
      <c r="B83" s="2"/>
      <c r="C83" s="183" t="s">
        <v>453</v>
      </c>
      <c r="D83" s="121" t="s">
        <v>454</v>
      </c>
      <c r="E83" s="2"/>
      <c r="F83" s="2"/>
      <c r="G83" s="2"/>
    </row>
    <row r="84" spans="2:8" x14ac:dyDescent="0.25">
      <c r="B84" s="15" t="s">
        <v>61</v>
      </c>
      <c r="C84" s="129">
        <v>800</v>
      </c>
      <c r="D84" s="129">
        <f>C84/8</f>
        <v>100</v>
      </c>
      <c r="E84" s="2"/>
      <c r="G84" s="121"/>
      <c r="H84" s="121"/>
    </row>
    <row r="85" spans="2:8" x14ac:dyDescent="0.25">
      <c r="B85" s="15" t="s">
        <v>20</v>
      </c>
      <c r="C85" s="129">
        <v>600</v>
      </c>
      <c r="D85" s="129">
        <f t="shared" ref="D85:D88" si="6">C85/8</f>
        <v>75</v>
      </c>
      <c r="E85" s="2"/>
      <c r="F85" s="105"/>
      <c r="G85" s="129"/>
      <c r="H85" s="129"/>
    </row>
    <row r="86" spans="2:8" x14ac:dyDescent="0.25">
      <c r="B86" s="15" t="s">
        <v>53</v>
      </c>
      <c r="C86" s="129">
        <v>600</v>
      </c>
      <c r="D86" s="129">
        <f t="shared" si="6"/>
        <v>75</v>
      </c>
      <c r="E86" s="2"/>
      <c r="F86" s="105"/>
      <c r="G86" s="129"/>
      <c r="H86" s="129"/>
    </row>
    <row r="87" spans="2:8" x14ac:dyDescent="0.25">
      <c r="B87" s="15" t="s">
        <v>54</v>
      </c>
      <c r="C87" s="129">
        <v>400</v>
      </c>
      <c r="D87" s="122">
        <f t="shared" si="6"/>
        <v>50</v>
      </c>
      <c r="E87" s="2"/>
      <c r="F87" s="105"/>
      <c r="G87" s="129"/>
      <c r="H87" s="129"/>
    </row>
    <row r="88" spans="2:8" x14ac:dyDescent="0.25">
      <c r="B88" s="15" t="s">
        <v>70</v>
      </c>
      <c r="C88" s="129">
        <v>80</v>
      </c>
      <c r="D88" s="129">
        <f t="shared" si="6"/>
        <v>10</v>
      </c>
      <c r="E88" s="2"/>
      <c r="F88" s="105"/>
      <c r="G88" s="129"/>
      <c r="H88" s="122"/>
    </row>
    <row r="89" spans="2:8" x14ac:dyDescent="0.25">
      <c r="B89" s="2"/>
      <c r="C89" s="2"/>
      <c r="D89" s="2"/>
      <c r="E89" s="2"/>
      <c r="F89" s="105"/>
      <c r="G89" s="129"/>
      <c r="H89" s="129"/>
    </row>
    <row r="90" spans="2:8" x14ac:dyDescent="0.25">
      <c r="B90" s="129"/>
      <c r="C90" s="129"/>
      <c r="D90" s="129"/>
      <c r="E90" s="129"/>
      <c r="F90" s="105"/>
      <c r="G90" s="129"/>
      <c r="H90" s="129"/>
    </row>
    <row r="91" spans="2:8" x14ac:dyDescent="0.25">
      <c r="B91" s="2" t="s">
        <v>126</v>
      </c>
      <c r="C91" s="2"/>
      <c r="D91" s="2"/>
      <c r="E91" s="2"/>
      <c r="F91" s="2"/>
      <c r="G91" s="2"/>
    </row>
    <row r="92" spans="2:8" x14ac:dyDescent="0.25">
      <c r="B92" s="2" t="s">
        <v>127</v>
      </c>
      <c r="C92" s="129" t="s">
        <v>455</v>
      </c>
      <c r="D92" s="36">
        <v>1000</v>
      </c>
      <c r="E92" s="2"/>
      <c r="F92" s="129"/>
      <c r="G92" s="129"/>
      <c r="H92" s="36"/>
    </row>
    <row r="93" spans="2:8" x14ac:dyDescent="0.25">
      <c r="B93" s="2" t="s">
        <v>128</v>
      </c>
      <c r="C93" s="129" t="s">
        <v>455</v>
      </c>
      <c r="D93" s="36">
        <v>60</v>
      </c>
      <c r="E93" s="2"/>
      <c r="F93" s="129"/>
      <c r="G93" s="129"/>
      <c r="H93" s="36"/>
    </row>
    <row r="94" spans="2:8" x14ac:dyDescent="0.25">
      <c r="B94" s="2" t="s">
        <v>129</v>
      </c>
      <c r="C94" s="129" t="s">
        <v>455</v>
      </c>
      <c r="D94" s="36">
        <v>32.5</v>
      </c>
      <c r="E94" s="2"/>
      <c r="F94" s="129"/>
      <c r="G94" s="129"/>
      <c r="H94" s="36"/>
    </row>
    <row r="95" spans="2:8" x14ac:dyDescent="0.25">
      <c r="B95" s="2"/>
      <c r="C95" s="2"/>
      <c r="D95" s="2"/>
      <c r="E95" s="2"/>
      <c r="F95" s="2"/>
      <c r="G95" s="2"/>
    </row>
    <row r="96" spans="2:8" x14ac:dyDescent="0.25">
      <c r="B96" s="2"/>
      <c r="C96" s="2"/>
      <c r="D96" s="2"/>
      <c r="E96" s="2"/>
      <c r="F96" s="2"/>
      <c r="G96" s="2"/>
    </row>
    <row r="97" spans="2:11" x14ac:dyDescent="0.25">
      <c r="B97" s="129" t="s">
        <v>228</v>
      </c>
      <c r="C97" s="121" t="s">
        <v>456</v>
      </c>
      <c r="D97" s="2"/>
      <c r="E97" s="2"/>
      <c r="F97" s="2"/>
      <c r="G97" s="2"/>
    </row>
    <row r="98" spans="2:11" x14ac:dyDescent="0.25">
      <c r="B98" s="45" t="s">
        <v>223</v>
      </c>
      <c r="C98" s="121">
        <v>5</v>
      </c>
      <c r="D98" s="2"/>
      <c r="E98" s="2"/>
      <c r="F98" s="2"/>
      <c r="G98" s="2"/>
    </row>
    <row r="99" spans="2:11" x14ac:dyDescent="0.25">
      <c r="B99" s="45" t="s">
        <v>224</v>
      </c>
      <c r="C99" s="121">
        <v>10</v>
      </c>
      <c r="D99" s="2"/>
      <c r="E99" s="2"/>
      <c r="F99" s="2"/>
      <c r="G99" s="2"/>
    </row>
    <row r="100" spans="2:11" x14ac:dyDescent="0.25">
      <c r="B100" s="45" t="s">
        <v>225</v>
      </c>
      <c r="C100" s="121">
        <v>15</v>
      </c>
      <c r="D100" s="2"/>
      <c r="E100" s="2"/>
      <c r="F100" s="2"/>
      <c r="G100" s="2"/>
    </row>
    <row r="101" spans="2:11" x14ac:dyDescent="0.25">
      <c r="B101" s="45"/>
      <c r="C101" s="121"/>
      <c r="D101" s="129"/>
      <c r="E101" s="129"/>
      <c r="F101" s="129"/>
      <c r="G101" s="129"/>
    </row>
    <row r="102" spans="2:11" x14ac:dyDescent="0.25">
      <c r="B102" s="45"/>
      <c r="C102" s="121"/>
      <c r="D102" s="129"/>
      <c r="E102" s="129"/>
      <c r="F102" s="129"/>
      <c r="G102" s="129"/>
    </row>
    <row r="103" spans="2:11" x14ac:dyDescent="0.25">
      <c r="B103" s="45" t="s">
        <v>226</v>
      </c>
      <c r="C103" s="121">
        <v>125</v>
      </c>
      <c r="D103" s="2"/>
      <c r="E103" s="2"/>
      <c r="F103" s="2"/>
      <c r="G103" s="2"/>
    </row>
    <row r="104" spans="2:11" x14ac:dyDescent="0.25">
      <c r="B104" s="45" t="s">
        <v>227</v>
      </c>
      <c r="C104" s="121">
        <v>15</v>
      </c>
      <c r="D104" s="2"/>
      <c r="E104" s="2"/>
      <c r="F104" s="2"/>
      <c r="G104" s="2"/>
    </row>
    <row r="105" spans="2:11" x14ac:dyDescent="0.25">
      <c r="B105" s="45" t="s">
        <v>226</v>
      </c>
      <c r="C105" s="30">
        <v>1.25</v>
      </c>
      <c r="D105" s="129"/>
      <c r="E105" s="129"/>
      <c r="F105" s="129"/>
      <c r="G105" s="129"/>
    </row>
    <row r="106" spans="2:11" x14ac:dyDescent="0.25">
      <c r="B106" s="45" t="s">
        <v>227</v>
      </c>
      <c r="C106" s="30">
        <v>1.5</v>
      </c>
      <c r="D106" s="129"/>
      <c r="E106" s="129"/>
      <c r="F106" s="129"/>
      <c r="G106" s="129"/>
    </row>
    <row r="107" spans="2:11" x14ac:dyDescent="0.25">
      <c r="B107" s="45"/>
      <c r="C107" s="121"/>
      <c r="D107" s="129"/>
      <c r="E107" s="129"/>
      <c r="F107" s="129"/>
      <c r="G107" s="129"/>
    </row>
    <row r="108" spans="2:11" x14ac:dyDescent="0.25">
      <c r="C108" t="s">
        <v>235</v>
      </c>
      <c r="F108" s="2"/>
      <c r="G108" s="85"/>
      <c r="H108" s="2"/>
      <c r="I108" s="2"/>
      <c r="J108" s="2"/>
      <c r="K108" s="2"/>
    </row>
    <row r="109" spans="2:11" x14ac:dyDescent="0.25">
      <c r="C109" s="141" t="s">
        <v>236</v>
      </c>
      <c r="D109" s="141" t="s">
        <v>151</v>
      </c>
      <c r="E109" s="141" t="s">
        <v>456</v>
      </c>
      <c r="F109" s="2"/>
      <c r="G109" s="85"/>
      <c r="H109" s="3"/>
      <c r="I109" s="3"/>
      <c r="J109" s="2"/>
      <c r="K109" s="2"/>
    </row>
    <row r="110" spans="2:11" x14ac:dyDescent="0.25">
      <c r="B110" t="s">
        <v>401</v>
      </c>
      <c r="C110" s="141">
        <v>20</v>
      </c>
      <c r="D110" s="141">
        <f>+'Inputs Field'!E17</f>
        <v>3200</v>
      </c>
      <c r="E110" s="141">
        <f>+C$100</f>
        <v>15</v>
      </c>
      <c r="F110" s="184">
        <f>+D110/SUM(D$110:D$110)</f>
        <v>1</v>
      </c>
      <c r="G110" s="85"/>
      <c r="H110" s="80"/>
      <c r="I110" s="3"/>
      <c r="J110" s="43"/>
      <c r="K110" s="2"/>
    </row>
    <row r="111" spans="2:11" x14ac:dyDescent="0.25">
      <c r="C111" s="141"/>
      <c r="D111" s="121">
        <f>SUM(D110:D110)</f>
        <v>3200</v>
      </c>
      <c r="E111" s="121">
        <f>SUMPRODUCT(E110:E110,F110:F110)</f>
        <v>15</v>
      </c>
      <c r="F111" s="80"/>
      <c r="G111" s="80"/>
      <c r="H111" s="2"/>
      <c r="I111" s="2"/>
    </row>
    <row r="112" spans="2:11" x14ac:dyDescent="0.25">
      <c r="B112" s="45" t="s">
        <v>226</v>
      </c>
      <c r="C112" s="2"/>
      <c r="D112" s="2"/>
      <c r="E112" s="30">
        <f>+C105</f>
        <v>1.25</v>
      </c>
      <c r="F112" s="2"/>
      <c r="G112" s="2"/>
    </row>
    <row r="113" spans="2:10" x14ac:dyDescent="0.25">
      <c r="B113" s="45" t="s">
        <v>227</v>
      </c>
      <c r="C113" s="2"/>
      <c r="D113" s="2"/>
      <c r="E113" s="93">
        <f>+C104*C52</f>
        <v>0.75</v>
      </c>
      <c r="F113" s="2"/>
      <c r="G113" s="2"/>
    </row>
    <row r="114" spans="2:10" x14ac:dyDescent="0.25">
      <c r="B114" s="2"/>
      <c r="C114" s="2"/>
      <c r="D114" s="2"/>
      <c r="E114" s="80">
        <f>+E111+E112+E113</f>
        <v>17</v>
      </c>
      <c r="F114" s="2"/>
      <c r="G114" s="2"/>
    </row>
    <row r="115" spans="2:10" x14ac:dyDescent="0.25">
      <c r="B115" s="179" t="s">
        <v>457</v>
      </c>
      <c r="C115" s="2"/>
      <c r="D115" s="2"/>
      <c r="E115" s="2"/>
      <c r="F115" s="2"/>
      <c r="G115" s="2"/>
    </row>
    <row r="116" spans="2:10" x14ac:dyDescent="0.25">
      <c r="B116" t="s">
        <v>568</v>
      </c>
      <c r="E116">
        <v>550</v>
      </c>
      <c r="F116">
        <v>650</v>
      </c>
      <c r="G116">
        <v>750</v>
      </c>
      <c r="H116">
        <v>850</v>
      </c>
      <c r="I116">
        <v>950</v>
      </c>
    </row>
    <row r="117" spans="2:10" x14ac:dyDescent="0.25">
      <c r="B117" t="s">
        <v>569</v>
      </c>
      <c r="E117">
        <v>100</v>
      </c>
      <c r="F117">
        <v>100</v>
      </c>
      <c r="G117">
        <v>100</v>
      </c>
      <c r="H117">
        <v>100</v>
      </c>
      <c r="I117">
        <v>100</v>
      </c>
    </row>
    <row r="118" spans="2:10" x14ac:dyDescent="0.25">
      <c r="B118" s="45" t="s">
        <v>567</v>
      </c>
      <c r="C118" s="180"/>
      <c r="E118">
        <f t="shared" ref="E118:F118" si="7">E116-E117</f>
        <v>450</v>
      </c>
      <c r="F118">
        <f t="shared" si="7"/>
        <v>550</v>
      </c>
      <c r="G118" s="234">
        <f>G116-G117</f>
        <v>650</v>
      </c>
      <c r="H118">
        <f t="shared" ref="H118:I118" si="8">H116-H117</f>
        <v>750</v>
      </c>
      <c r="I118">
        <f t="shared" si="8"/>
        <v>850</v>
      </c>
    </row>
    <row r="119" spans="2:10" x14ac:dyDescent="0.25">
      <c r="B119" s="181" t="s">
        <v>458</v>
      </c>
      <c r="C119" s="182">
        <v>0.22</v>
      </c>
      <c r="D119" s="182"/>
      <c r="E119" s="182">
        <f>C119</f>
        <v>0.22</v>
      </c>
      <c r="F119" s="182">
        <f t="shared" ref="F119:I119" si="9">E119</f>
        <v>0.22</v>
      </c>
      <c r="G119" s="235">
        <f t="shared" si="9"/>
        <v>0.22</v>
      </c>
      <c r="H119" s="233">
        <f t="shared" si="9"/>
        <v>0.22</v>
      </c>
      <c r="I119" s="182">
        <f t="shared" si="9"/>
        <v>0.22</v>
      </c>
      <c r="J119" s="182"/>
    </row>
    <row r="120" spans="2:10" x14ac:dyDescent="0.25">
      <c r="B120" t="s">
        <v>570</v>
      </c>
      <c r="E120">
        <f t="shared" ref="E120:I120" si="10">E118*E119</f>
        <v>99</v>
      </c>
      <c r="F120">
        <f t="shared" si="10"/>
        <v>121</v>
      </c>
      <c r="G120" s="236">
        <f t="shared" si="10"/>
        <v>143</v>
      </c>
      <c r="H120" s="232">
        <f t="shared" si="10"/>
        <v>165</v>
      </c>
      <c r="I120">
        <f t="shared" si="10"/>
        <v>187</v>
      </c>
    </row>
    <row r="121" spans="2:10" x14ac:dyDescent="0.25">
      <c r="B121" t="s">
        <v>576</v>
      </c>
      <c r="C121" s="182">
        <v>0.04</v>
      </c>
      <c r="E121">
        <f>E118*C121</f>
        <v>18</v>
      </c>
      <c r="F121">
        <f>F118*C121</f>
        <v>22</v>
      </c>
      <c r="G121" s="236">
        <f>G118*C121</f>
        <v>26</v>
      </c>
      <c r="H121" s="232">
        <f>H118*C121</f>
        <v>30</v>
      </c>
      <c r="I121">
        <f>I118*C121</f>
        <v>34</v>
      </c>
    </row>
    <row r="122" spans="2:10" x14ac:dyDescent="0.25">
      <c r="B122" t="s">
        <v>577</v>
      </c>
      <c r="C122">
        <v>62</v>
      </c>
      <c r="E122">
        <f>C122</f>
        <v>62</v>
      </c>
      <c r="F122">
        <f>C122</f>
        <v>62</v>
      </c>
      <c r="G122" s="236">
        <f>C122</f>
        <v>62</v>
      </c>
      <c r="H122" s="232">
        <f>C122</f>
        <v>62</v>
      </c>
      <c r="I122">
        <f>C122</f>
        <v>62</v>
      </c>
    </row>
    <row r="123" spans="2:10" x14ac:dyDescent="0.25">
      <c r="B123" t="s">
        <v>459</v>
      </c>
      <c r="C123" s="182"/>
      <c r="E123" s="241">
        <f t="shared" ref="E123:F123" si="11">E120+E121-E122</f>
        <v>55</v>
      </c>
      <c r="F123" s="241">
        <f t="shared" si="11"/>
        <v>81</v>
      </c>
      <c r="G123" s="237">
        <f>G120+G121-G122</f>
        <v>107</v>
      </c>
      <c r="H123" s="241">
        <f t="shared" ref="H123:I123" si="12">H120+H121-H122</f>
        <v>133</v>
      </c>
      <c r="I123" s="241">
        <f t="shared" si="12"/>
        <v>159</v>
      </c>
    </row>
    <row r="126" spans="2:10" x14ac:dyDescent="0.25">
      <c r="B126" t="s">
        <v>489</v>
      </c>
      <c r="C126" s="182">
        <v>0</v>
      </c>
      <c r="D126" t="s">
        <v>490</v>
      </c>
    </row>
    <row r="127" spans="2:10" x14ac:dyDescent="0.25">
      <c r="B127" t="s">
        <v>491</v>
      </c>
      <c r="C127" s="182">
        <v>0.1</v>
      </c>
      <c r="D127" t="s">
        <v>490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C87"/>
  <sheetViews>
    <sheetView showGridLines="0" topLeftCell="B1" zoomScaleNormal="100" workbookViewId="0">
      <pane xSplit="2" ySplit="4" topLeftCell="D18" activePane="bottomRight" state="frozen"/>
      <selection activeCell="B1" sqref="B1"/>
      <selection pane="topRight" activeCell="D1" sqref="D1"/>
      <selection pane="bottomLeft" activeCell="B2" sqref="B2"/>
      <selection pane="bottomRight" activeCell="K19" sqref="K19"/>
    </sheetView>
  </sheetViews>
  <sheetFormatPr defaultRowHeight="12.75" x14ac:dyDescent="0.2"/>
  <cols>
    <col min="1" max="1" width="9.140625" style="2"/>
    <col min="2" max="2" width="44.85546875" style="2" customWidth="1"/>
    <col min="3" max="3" width="14.85546875" style="2" customWidth="1"/>
    <col min="4" max="23" width="15.7109375" style="2" customWidth="1"/>
    <col min="24" max="16384" width="9.140625" style="2"/>
  </cols>
  <sheetData>
    <row r="1" spans="2:29" ht="13.5" thickBot="1" x14ac:dyDescent="0.25"/>
    <row r="2" spans="2:29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9" ht="13.5" thickTop="1" x14ac:dyDescent="0.2"/>
    <row r="4" spans="2:29" x14ac:dyDescent="0.2">
      <c r="B4" s="41" t="s">
        <v>373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9" x14ac:dyDescent="0.2">
      <c r="B5" s="2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7" spans="2:29" x14ac:dyDescent="0.2">
      <c r="B7" s="2" t="s">
        <v>113</v>
      </c>
      <c r="C7" s="3"/>
      <c r="D7" s="83">
        <f>+'Field Ops'!F18</f>
        <v>0</v>
      </c>
      <c r="E7" s="83">
        <f>+'Field Ops'!G18</f>
        <v>3200</v>
      </c>
      <c r="F7" s="123">
        <f>+'Field Ops'!H18</f>
        <v>0</v>
      </c>
      <c r="G7" s="123">
        <f>+'Field Ops'!I18</f>
        <v>0</v>
      </c>
      <c r="H7" s="123">
        <f>+'Field Ops'!J18</f>
        <v>0</v>
      </c>
      <c r="I7" s="123">
        <f>+'Field Ops'!K18</f>
        <v>0</v>
      </c>
      <c r="J7" s="123">
        <f>+'Field Ops'!L18</f>
        <v>0</v>
      </c>
      <c r="K7" s="123">
        <f>+'Field Ops'!M18</f>
        <v>0</v>
      </c>
      <c r="L7" s="123">
        <f>+'Field Ops'!N18</f>
        <v>0</v>
      </c>
      <c r="M7" s="123">
        <f>+'Field Ops'!O18</f>
        <v>0</v>
      </c>
      <c r="N7" s="123">
        <f>+'Field Ops'!P18</f>
        <v>0</v>
      </c>
      <c r="O7" s="123">
        <f>+'Field Ops'!Q18</f>
        <v>0</v>
      </c>
      <c r="P7" s="123">
        <f>+'Field Ops'!R18</f>
        <v>0</v>
      </c>
      <c r="Q7" s="123">
        <f>+'Field Ops'!S18</f>
        <v>0</v>
      </c>
      <c r="R7" s="123">
        <f>+'Field Ops'!T18</f>
        <v>0</v>
      </c>
      <c r="S7" s="123">
        <f>+'Field Ops'!U18</f>
        <v>0</v>
      </c>
      <c r="T7" s="123">
        <f>+'Field Ops'!V18</f>
        <v>0</v>
      </c>
      <c r="U7" s="123">
        <f>+'Field Ops'!W18</f>
        <v>0</v>
      </c>
      <c r="V7" s="123">
        <f>+'Field Ops'!X18</f>
        <v>0</v>
      </c>
      <c r="W7" s="123">
        <f>+'Field Ops'!Y18</f>
        <v>0</v>
      </c>
    </row>
    <row r="8" spans="2:29" x14ac:dyDescent="0.2">
      <c r="B8" s="2" t="s">
        <v>153</v>
      </c>
      <c r="C8" s="3"/>
      <c r="D8" s="123">
        <f>+'Field Ops'!F17</f>
        <v>0</v>
      </c>
      <c r="E8" s="123">
        <f>+'Field Ops'!G17</f>
        <v>3200</v>
      </c>
      <c r="F8" s="123">
        <f>+'Field Ops'!H17</f>
        <v>3200</v>
      </c>
      <c r="G8" s="123">
        <f>+'Field Ops'!I17</f>
        <v>3200</v>
      </c>
      <c r="H8" s="123">
        <f>+'Field Ops'!J17</f>
        <v>3200</v>
      </c>
      <c r="I8" s="123">
        <f>+'Field Ops'!K17</f>
        <v>3200</v>
      </c>
      <c r="J8" s="123">
        <f>+'Field Ops'!L17</f>
        <v>3200</v>
      </c>
      <c r="K8" s="123">
        <f>+'Field Ops'!M17</f>
        <v>3200</v>
      </c>
      <c r="L8" s="123">
        <f>+'Field Ops'!N17</f>
        <v>3200</v>
      </c>
      <c r="M8" s="123">
        <f>+'Field Ops'!O17</f>
        <v>3200</v>
      </c>
      <c r="N8" s="123">
        <f>+'Field Ops'!P17</f>
        <v>3200</v>
      </c>
      <c r="O8" s="123">
        <f>+'Field Ops'!Q17</f>
        <v>3200</v>
      </c>
      <c r="P8" s="123">
        <f>+'Field Ops'!R17</f>
        <v>3200</v>
      </c>
      <c r="Q8" s="123">
        <f>+'Field Ops'!S17</f>
        <v>3200</v>
      </c>
      <c r="R8" s="123">
        <f>+'Field Ops'!T17</f>
        <v>3200</v>
      </c>
      <c r="S8" s="123">
        <f>+'Field Ops'!U17</f>
        <v>3200</v>
      </c>
      <c r="T8" s="123">
        <f>+'Field Ops'!V17</f>
        <v>3200</v>
      </c>
      <c r="U8" s="123">
        <f>+'Field Ops'!W17</f>
        <v>3200</v>
      </c>
      <c r="V8" s="123">
        <f>+'Field Ops'!X17</f>
        <v>3200</v>
      </c>
      <c r="W8" s="123">
        <f>+'Field Ops'!Y17</f>
        <v>3200</v>
      </c>
    </row>
    <row r="10" spans="2:29" x14ac:dyDescent="0.2">
      <c r="B10" s="129" t="s">
        <v>98</v>
      </c>
      <c r="C10" s="121" t="s">
        <v>152</v>
      </c>
      <c r="D10" s="83">
        <f>+'Total Revenue &amp; Costs'!D10</f>
        <v>0</v>
      </c>
      <c r="E10" s="123">
        <f>+'Total Revenue &amp; Costs'!E10</f>
        <v>0</v>
      </c>
      <c r="F10" s="123">
        <f>+'Total Revenue &amp; Costs'!F10</f>
        <v>0</v>
      </c>
      <c r="G10" s="123">
        <f>+'Total Revenue &amp; Costs'!G10</f>
        <v>0</v>
      </c>
      <c r="H10" s="123">
        <f>+'Total Revenue &amp; Costs'!H10</f>
        <v>12800</v>
      </c>
      <c r="I10" s="123">
        <f>+'Total Revenue &amp; Costs'!I10</f>
        <v>25600</v>
      </c>
      <c r="J10" s="123">
        <f>+'Total Revenue &amp; Costs'!J10</f>
        <v>38400</v>
      </c>
      <c r="K10" s="123">
        <f>+'Total Revenue &amp; Costs'!K10</f>
        <v>48000</v>
      </c>
      <c r="L10" s="123">
        <f>+'Total Revenue &amp; Costs'!L10</f>
        <v>54400</v>
      </c>
      <c r="M10" s="123">
        <f>+'Total Revenue &amp; Costs'!M10</f>
        <v>60800</v>
      </c>
      <c r="N10" s="123">
        <f>+'Total Revenue &amp; Costs'!N10</f>
        <v>60800</v>
      </c>
      <c r="O10" s="123">
        <f>+'Total Revenue &amp; Costs'!O10</f>
        <v>60800</v>
      </c>
      <c r="P10" s="123">
        <f>+'Total Revenue &amp; Costs'!P10</f>
        <v>60800</v>
      </c>
      <c r="Q10" s="123">
        <f>+'Total Revenue &amp; Costs'!Q10</f>
        <v>60800</v>
      </c>
      <c r="R10" s="123">
        <f>+'Total Revenue &amp; Costs'!R10</f>
        <v>60800</v>
      </c>
      <c r="S10" s="123">
        <f>+'Total Revenue &amp; Costs'!S10</f>
        <v>60800</v>
      </c>
      <c r="T10" s="123">
        <f>+'Total Revenue &amp; Costs'!T10</f>
        <v>60800</v>
      </c>
      <c r="U10" s="123">
        <f>+'Total Revenue &amp; Costs'!U10</f>
        <v>60800</v>
      </c>
      <c r="V10" s="123">
        <f>+'Total Revenue &amp; Costs'!V10</f>
        <v>60800</v>
      </c>
      <c r="W10" s="123">
        <f>+'Total Revenue &amp; Costs'!W10</f>
        <v>60800</v>
      </c>
    </row>
    <row r="11" spans="2:29" x14ac:dyDescent="0.2">
      <c r="C11" s="3"/>
      <c r="O11" s="67"/>
    </row>
    <row r="12" spans="2:29" x14ac:dyDescent="0.2">
      <c r="B12" s="129" t="s">
        <v>403</v>
      </c>
      <c r="C12" s="9" t="s">
        <v>397</v>
      </c>
      <c r="D12" s="83">
        <f>+'Total Revenue &amp; Costs'!D12</f>
        <v>0</v>
      </c>
      <c r="E12" s="123">
        <f>+'Total Revenue &amp; Costs'!E12</f>
        <v>0</v>
      </c>
      <c r="F12" s="123">
        <f>+'Total Revenue &amp; Costs'!F12</f>
        <v>0</v>
      </c>
      <c r="G12" s="123">
        <f>+'Total Revenue &amp; Costs'!G12</f>
        <v>0</v>
      </c>
      <c r="H12" s="123">
        <f>+'Total Revenue &amp; Costs'!H12</f>
        <v>1369600</v>
      </c>
      <c r="I12" s="123">
        <f>+'Total Revenue &amp; Costs'!I12</f>
        <v>2739200</v>
      </c>
      <c r="J12" s="123">
        <f>+'Total Revenue &amp; Costs'!J12</f>
        <v>4108800</v>
      </c>
      <c r="K12" s="123">
        <f>+'Total Revenue &amp; Costs'!K12</f>
        <v>5136000</v>
      </c>
      <c r="L12" s="123">
        <f>+'Total Revenue &amp; Costs'!L12</f>
        <v>5820800</v>
      </c>
      <c r="M12" s="123">
        <f>+'Total Revenue &amp; Costs'!M12</f>
        <v>6505600</v>
      </c>
      <c r="N12" s="123">
        <f>+'Total Revenue &amp; Costs'!N12</f>
        <v>6505600</v>
      </c>
      <c r="O12" s="123">
        <f>+'Total Revenue &amp; Costs'!O12</f>
        <v>6505600</v>
      </c>
      <c r="P12" s="123">
        <f>+'Total Revenue &amp; Costs'!P12</f>
        <v>6505600</v>
      </c>
      <c r="Q12" s="123">
        <f>+'Total Revenue &amp; Costs'!Q12</f>
        <v>6505600</v>
      </c>
      <c r="R12" s="123">
        <f>+'Total Revenue &amp; Costs'!R12</f>
        <v>6505600</v>
      </c>
      <c r="S12" s="123">
        <f>+'Total Revenue &amp; Costs'!S12</f>
        <v>6505600</v>
      </c>
      <c r="T12" s="123">
        <f>+'Total Revenue &amp; Costs'!T12</f>
        <v>6505600</v>
      </c>
      <c r="U12" s="123">
        <f>+'Total Revenue &amp; Costs'!U12</f>
        <v>6505600</v>
      </c>
      <c r="V12" s="123">
        <f>+'Total Revenue &amp; Costs'!V12</f>
        <v>6505600</v>
      </c>
      <c r="W12" s="123">
        <f>+'Total Revenue &amp; Costs'!W12</f>
        <v>6505600</v>
      </c>
      <c r="Y12" s="25" t="s">
        <v>582</v>
      </c>
      <c r="Z12" s="11"/>
      <c r="AA12" s="11"/>
      <c r="AB12" s="11"/>
      <c r="AC12" s="12"/>
    </row>
    <row r="13" spans="2:29" x14ac:dyDescent="0.2"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Y13" s="17"/>
      <c r="Z13" s="105"/>
      <c r="AA13" s="105"/>
      <c r="AB13" s="105"/>
      <c r="AC13" s="18"/>
    </row>
    <row r="14" spans="2:29" x14ac:dyDescent="0.2">
      <c r="B14" s="2" t="s">
        <v>496</v>
      </c>
      <c r="D14" s="83">
        <f>+D12</f>
        <v>0</v>
      </c>
      <c r="E14" s="123">
        <f t="shared" ref="E14:W14" si="1">+E12</f>
        <v>0</v>
      </c>
      <c r="F14" s="123">
        <f t="shared" si="1"/>
        <v>0</v>
      </c>
      <c r="G14" s="123">
        <f t="shared" si="1"/>
        <v>0</v>
      </c>
      <c r="H14" s="123">
        <f t="shared" si="1"/>
        <v>1369600</v>
      </c>
      <c r="I14" s="123">
        <f t="shared" si="1"/>
        <v>2739200</v>
      </c>
      <c r="J14" s="123">
        <f t="shared" si="1"/>
        <v>4108800</v>
      </c>
      <c r="K14" s="123">
        <f t="shared" si="1"/>
        <v>5136000</v>
      </c>
      <c r="L14" s="123">
        <f t="shared" si="1"/>
        <v>5820800</v>
      </c>
      <c r="M14" s="123">
        <f t="shared" si="1"/>
        <v>6505600</v>
      </c>
      <c r="N14" s="123">
        <f t="shared" si="1"/>
        <v>6505600</v>
      </c>
      <c r="O14" s="123">
        <f t="shared" si="1"/>
        <v>6505600</v>
      </c>
      <c r="P14" s="123">
        <f t="shared" si="1"/>
        <v>6505600</v>
      </c>
      <c r="Q14" s="123">
        <f t="shared" si="1"/>
        <v>6505600</v>
      </c>
      <c r="R14" s="123">
        <f t="shared" si="1"/>
        <v>6505600</v>
      </c>
      <c r="S14" s="123">
        <f t="shared" si="1"/>
        <v>6505600</v>
      </c>
      <c r="T14" s="123">
        <f t="shared" si="1"/>
        <v>6505600</v>
      </c>
      <c r="U14" s="123">
        <f t="shared" si="1"/>
        <v>6505600</v>
      </c>
      <c r="V14" s="123">
        <f t="shared" si="1"/>
        <v>6505600</v>
      </c>
      <c r="W14" s="123">
        <f t="shared" si="1"/>
        <v>6505600</v>
      </c>
      <c r="Y14" s="245" t="s">
        <v>581</v>
      </c>
      <c r="Z14" s="105"/>
      <c r="AA14" s="105"/>
      <c r="AB14" s="105"/>
      <c r="AC14" s="246">
        <f>W12*500/3200</f>
        <v>1016500</v>
      </c>
    </row>
    <row r="15" spans="2:29" x14ac:dyDescent="0.2">
      <c r="O15" s="83"/>
      <c r="Y15" s="17"/>
      <c r="Z15" s="105"/>
      <c r="AA15" s="105"/>
      <c r="AB15" s="105"/>
      <c r="AC15" s="18"/>
    </row>
    <row r="16" spans="2:29" x14ac:dyDescent="0.2">
      <c r="Y16" s="17" t="s">
        <v>199</v>
      </c>
      <c r="Z16" s="105"/>
      <c r="AA16" s="105"/>
      <c r="AB16" s="105"/>
      <c r="AC16" s="246">
        <f>W17*500/3200</f>
        <v>304318.58985336532</v>
      </c>
    </row>
    <row r="17" spans="2:29" x14ac:dyDescent="0.2">
      <c r="B17" s="2" t="s">
        <v>199</v>
      </c>
      <c r="D17" s="83">
        <f>+'Total Revenue &amp; Costs'!D18</f>
        <v>0</v>
      </c>
      <c r="E17" s="83">
        <f>+'Total Revenue &amp; Costs'!E18</f>
        <v>0</v>
      </c>
      <c r="F17" s="83">
        <f>+'Total Revenue &amp; Costs'!F18</f>
        <v>0</v>
      </c>
      <c r="G17" s="83">
        <f>+'Total Revenue &amp; Costs'!G18</f>
        <v>0</v>
      </c>
      <c r="H17" s="83">
        <f>+'Total Revenue &amp; Costs'!H18</f>
        <v>0</v>
      </c>
      <c r="I17" s="83">
        <f>+'Total Revenue &amp; Costs'!I18</f>
        <v>1947638.9750615379</v>
      </c>
      <c r="J17" s="83">
        <f>+'Total Revenue &amp; Costs'!J18</f>
        <v>1947638.9750615379</v>
      </c>
      <c r="K17" s="83">
        <f>+'Total Revenue &amp; Costs'!K18</f>
        <v>1947638.9750615379</v>
      </c>
      <c r="L17" s="83">
        <f>+'Total Revenue &amp; Costs'!L18</f>
        <v>1947638.9750615379</v>
      </c>
      <c r="M17" s="83">
        <f>+'Total Revenue &amp; Costs'!M18</f>
        <v>1947638.9750615379</v>
      </c>
      <c r="N17" s="83">
        <f>+'Total Revenue &amp; Costs'!N18</f>
        <v>1947638.9750615379</v>
      </c>
      <c r="O17" s="83">
        <f>+'Total Revenue &amp; Costs'!O18</f>
        <v>1947638.9750615379</v>
      </c>
      <c r="P17" s="83">
        <f>+'Total Revenue &amp; Costs'!P18</f>
        <v>1947638.9750615379</v>
      </c>
      <c r="Q17" s="83">
        <f>+'Total Revenue &amp; Costs'!Q18</f>
        <v>1947638.9750615379</v>
      </c>
      <c r="R17" s="83">
        <f>+'Total Revenue &amp; Costs'!R18</f>
        <v>1947638.9750615379</v>
      </c>
      <c r="S17" s="83">
        <f>+'Total Revenue &amp; Costs'!S18</f>
        <v>1947638.9750615379</v>
      </c>
      <c r="T17" s="83">
        <f>+'Total Revenue &amp; Costs'!T18</f>
        <v>1947638.9750615379</v>
      </c>
      <c r="U17" s="83">
        <f>+'Total Revenue &amp; Costs'!U18</f>
        <v>1947638.9750615379</v>
      </c>
      <c r="V17" s="83">
        <f>+'Total Revenue &amp; Costs'!V18</f>
        <v>1947638.9750615379</v>
      </c>
      <c r="W17" s="83">
        <f>+'Total Revenue &amp; Costs'!W18</f>
        <v>1947638.9750615379</v>
      </c>
      <c r="Y17" s="17" t="s">
        <v>200</v>
      </c>
      <c r="Z17" s="105"/>
      <c r="AA17" s="105"/>
      <c r="AB17" s="105"/>
      <c r="AC17" s="246">
        <f>W18*500/3200</f>
        <v>271510</v>
      </c>
    </row>
    <row r="18" spans="2:29" x14ac:dyDescent="0.2">
      <c r="B18" s="2" t="s">
        <v>200</v>
      </c>
      <c r="D18" s="83">
        <f>+'Total Revenue &amp; Costs'!D19</f>
        <v>0</v>
      </c>
      <c r="E18" s="83">
        <f>+'Total Revenue &amp; Costs'!E19</f>
        <v>0</v>
      </c>
      <c r="F18" s="83">
        <f>+'Total Revenue &amp; Costs'!F19</f>
        <v>0</v>
      </c>
      <c r="G18" s="83">
        <f>+'Total Revenue &amp; Costs'!G19</f>
        <v>0</v>
      </c>
      <c r="H18" s="83">
        <f>+'Total Revenue &amp; Costs'!H19</f>
        <v>530794.66666666674</v>
      </c>
      <c r="I18" s="83">
        <f>+'Total Revenue &amp; Costs'!I19</f>
        <v>865408</v>
      </c>
      <c r="J18" s="83">
        <f>+'Total Revenue &amp; Costs'!J19</f>
        <v>1197792</v>
      </c>
      <c r="K18" s="83">
        <f>+'Total Revenue &amp; Costs'!K19</f>
        <v>1422000</v>
      </c>
      <c r="L18" s="83">
        <f>+'Total Revenue &amp; Costs'!L19</f>
        <v>1583176</v>
      </c>
      <c r="M18" s="83">
        <f>+'Total Revenue &amp; Costs'!M19</f>
        <v>1729722</v>
      </c>
      <c r="N18" s="83">
        <f>+'Total Revenue &amp; Costs'!N19</f>
        <v>1642360</v>
      </c>
      <c r="O18" s="83">
        <f>+'Total Revenue &amp; Costs'!O19</f>
        <v>1637065.3333333335</v>
      </c>
      <c r="P18" s="83">
        <f>+'Total Revenue &amp; Costs'!P19</f>
        <v>1610592</v>
      </c>
      <c r="Q18" s="83">
        <f>+'Total Revenue &amp; Costs'!Q19</f>
        <v>1631770.6666666667</v>
      </c>
      <c r="R18" s="83">
        <f>+'Total Revenue &amp; Costs'!R19</f>
        <v>1670157</v>
      </c>
      <c r="S18" s="83">
        <f>+'Total Revenue &amp; Costs'!S19</f>
        <v>1685340.2352941176</v>
      </c>
      <c r="T18" s="83">
        <f>+'Total Revenue &amp; Costs'!T19</f>
        <v>1698836.4444444445</v>
      </c>
      <c r="U18" s="83">
        <f>+'Total Revenue &amp; Costs'!U19</f>
        <v>1744352</v>
      </c>
      <c r="V18" s="83">
        <f>+'Total Revenue &amp; Costs'!V19</f>
        <v>1737664</v>
      </c>
      <c r="W18" s="83">
        <f>+'Total Revenue &amp; Costs'!W19</f>
        <v>1737664</v>
      </c>
      <c r="Y18" s="17"/>
      <c r="Z18" s="105"/>
      <c r="AA18" s="105"/>
      <c r="AB18" s="105"/>
      <c r="AC18" s="246"/>
    </row>
    <row r="19" spans="2:29" x14ac:dyDescent="0.2">
      <c r="Y19" s="247" t="s">
        <v>183</v>
      </c>
      <c r="Z19" s="19"/>
      <c r="AA19" s="19"/>
      <c r="AB19" s="19"/>
      <c r="AC19" s="248">
        <f>AC14-AC16-AC17</f>
        <v>440671.41014663468</v>
      </c>
    </row>
    <row r="20" spans="2:29" x14ac:dyDescent="0.2">
      <c r="B20" s="2" t="s">
        <v>180</v>
      </c>
      <c r="D20" s="83">
        <f t="shared" ref="D20:W20" si="2">SUM(D17:D18)</f>
        <v>0</v>
      </c>
      <c r="E20" s="83">
        <f t="shared" si="2"/>
        <v>0</v>
      </c>
      <c r="F20" s="83">
        <f t="shared" si="2"/>
        <v>0</v>
      </c>
      <c r="G20" s="83">
        <f t="shared" si="2"/>
        <v>0</v>
      </c>
      <c r="H20" s="83">
        <f t="shared" si="2"/>
        <v>530794.66666666674</v>
      </c>
      <c r="I20" s="83">
        <f t="shared" si="2"/>
        <v>2813046.9750615377</v>
      </c>
      <c r="J20" s="83">
        <f t="shared" si="2"/>
        <v>3145430.9750615377</v>
      </c>
      <c r="K20" s="83">
        <f t="shared" si="2"/>
        <v>3369638.9750615377</v>
      </c>
      <c r="L20" s="83">
        <f t="shared" si="2"/>
        <v>3530814.9750615377</v>
      </c>
      <c r="M20" s="83">
        <f t="shared" si="2"/>
        <v>3677360.9750615377</v>
      </c>
      <c r="N20" s="83">
        <f t="shared" si="2"/>
        <v>3589998.9750615377</v>
      </c>
      <c r="O20" s="83">
        <f t="shared" si="2"/>
        <v>3584704.3083948717</v>
      </c>
      <c r="P20" s="83">
        <f t="shared" si="2"/>
        <v>3558230.9750615377</v>
      </c>
      <c r="Q20" s="83">
        <f t="shared" si="2"/>
        <v>3579409.6417282047</v>
      </c>
      <c r="R20" s="83">
        <f t="shared" si="2"/>
        <v>3617795.9750615377</v>
      </c>
      <c r="S20" s="83">
        <f t="shared" si="2"/>
        <v>3632979.2103556553</v>
      </c>
      <c r="T20" s="83">
        <f t="shared" si="2"/>
        <v>3646475.4195059827</v>
      </c>
      <c r="U20" s="83">
        <f t="shared" si="2"/>
        <v>3691990.9750615377</v>
      </c>
      <c r="V20" s="83">
        <f t="shared" si="2"/>
        <v>3685302.9750615377</v>
      </c>
      <c r="W20" s="83">
        <f t="shared" si="2"/>
        <v>3685302.9750615377</v>
      </c>
    </row>
    <row r="22" spans="2:29" x14ac:dyDescent="0.2">
      <c r="B22" s="2" t="s">
        <v>181</v>
      </c>
      <c r="D22" s="83">
        <f>SUM('Total Revenue &amp; Costs'!D20)</f>
        <v>0</v>
      </c>
      <c r="E22" s="83">
        <f>SUM('Total Revenue &amp; Costs'!E20)</f>
        <v>0</v>
      </c>
      <c r="F22" s="83">
        <f>SUM('Total Revenue &amp; Costs'!F20)</f>
        <v>0</v>
      </c>
      <c r="G22" s="83">
        <f>SUM('Total Revenue &amp; Costs'!G20)</f>
        <v>0</v>
      </c>
      <c r="H22" s="83">
        <f>SUM('Total Revenue &amp; Costs'!H20)</f>
        <v>0</v>
      </c>
      <c r="I22" s="83">
        <f>SUM('Total Revenue &amp; Costs'!I20)</f>
        <v>0</v>
      </c>
      <c r="J22" s="83">
        <f>SUM('Total Revenue &amp; Costs'!J20)</f>
        <v>0</v>
      </c>
      <c r="K22" s="83">
        <f>SUM('Total Revenue &amp; Costs'!K20)</f>
        <v>0</v>
      </c>
      <c r="L22" s="83">
        <f>SUM('Total Revenue &amp; Costs'!L20)</f>
        <v>0</v>
      </c>
      <c r="M22" s="83">
        <f>SUM('Total Revenue &amp; Costs'!M20)</f>
        <v>0</v>
      </c>
      <c r="N22" s="83">
        <f>SUM('Total Revenue &amp; Costs'!N20)</f>
        <v>0</v>
      </c>
      <c r="O22" s="83">
        <f>SUM('Total Revenue &amp; Costs'!O20)</f>
        <v>0</v>
      </c>
      <c r="P22" s="83">
        <f>SUM('Total Revenue &amp; Costs'!P20)</f>
        <v>0</v>
      </c>
      <c r="Q22" s="83">
        <f>SUM('Total Revenue &amp; Costs'!Q20)</f>
        <v>0</v>
      </c>
      <c r="R22" s="83">
        <f>SUM('Total Revenue &amp; Costs'!R20)</f>
        <v>0</v>
      </c>
      <c r="S22" s="83">
        <f>SUM('Total Revenue &amp; Costs'!S20)</f>
        <v>0</v>
      </c>
      <c r="T22" s="83">
        <f>SUM('Total Revenue &amp; Costs'!T20)</f>
        <v>0</v>
      </c>
      <c r="U22" s="83">
        <f>SUM('Total Revenue &amp; Costs'!U20)</f>
        <v>0</v>
      </c>
      <c r="V22" s="83">
        <f>SUM('Total Revenue &amp; Costs'!V20)</f>
        <v>0</v>
      </c>
      <c r="W22" s="83">
        <f>SUM('Total Revenue &amp; Costs'!W20)</f>
        <v>0</v>
      </c>
    </row>
    <row r="24" spans="2:29" x14ac:dyDescent="0.2">
      <c r="B24" s="2" t="s">
        <v>182</v>
      </c>
      <c r="D24" s="83">
        <f>+D20+D22</f>
        <v>0</v>
      </c>
      <c r="E24" s="83">
        <f t="shared" ref="E24:W24" si="3">+E20+E22</f>
        <v>0</v>
      </c>
      <c r="F24" s="83">
        <f t="shared" si="3"/>
        <v>0</v>
      </c>
      <c r="G24" s="83">
        <f t="shared" si="3"/>
        <v>0</v>
      </c>
      <c r="H24" s="83">
        <f t="shared" si="3"/>
        <v>530794.66666666674</v>
      </c>
      <c r="I24" s="83">
        <f t="shared" si="3"/>
        <v>2813046.9750615377</v>
      </c>
      <c r="J24" s="83">
        <f t="shared" si="3"/>
        <v>3145430.9750615377</v>
      </c>
      <c r="K24" s="83">
        <f t="shared" si="3"/>
        <v>3369638.9750615377</v>
      </c>
      <c r="L24" s="83">
        <f t="shared" si="3"/>
        <v>3530814.9750615377</v>
      </c>
      <c r="M24" s="83">
        <f t="shared" si="3"/>
        <v>3677360.9750615377</v>
      </c>
      <c r="N24" s="83">
        <f t="shared" si="3"/>
        <v>3589998.9750615377</v>
      </c>
      <c r="O24" s="83">
        <f t="shared" si="3"/>
        <v>3584704.3083948717</v>
      </c>
      <c r="P24" s="83">
        <f t="shared" si="3"/>
        <v>3558230.9750615377</v>
      </c>
      <c r="Q24" s="83">
        <f t="shared" si="3"/>
        <v>3579409.6417282047</v>
      </c>
      <c r="R24" s="83">
        <f t="shared" si="3"/>
        <v>3617795.9750615377</v>
      </c>
      <c r="S24" s="83">
        <f t="shared" si="3"/>
        <v>3632979.2103556553</v>
      </c>
      <c r="T24" s="83">
        <f t="shared" si="3"/>
        <v>3646475.4195059827</v>
      </c>
      <c r="U24" s="83">
        <f t="shared" si="3"/>
        <v>3691990.9750615377</v>
      </c>
      <c r="V24" s="83">
        <f t="shared" si="3"/>
        <v>3685302.9750615377</v>
      </c>
      <c r="W24" s="83">
        <f t="shared" si="3"/>
        <v>3685302.9750615377</v>
      </c>
    </row>
    <row r="26" spans="2:29" x14ac:dyDescent="0.2">
      <c r="B26" s="41" t="s">
        <v>183</v>
      </c>
      <c r="C26" s="41"/>
      <c r="D26" s="42">
        <f t="shared" ref="D26:W26" si="4">+D14-D24</f>
        <v>0</v>
      </c>
      <c r="E26" s="42">
        <f t="shared" si="4"/>
        <v>0</v>
      </c>
      <c r="F26" s="42">
        <f t="shared" si="4"/>
        <v>0</v>
      </c>
      <c r="G26" s="42">
        <f t="shared" si="4"/>
        <v>0</v>
      </c>
      <c r="H26" s="42">
        <f t="shared" si="4"/>
        <v>838805.33333333326</v>
      </c>
      <c r="I26" s="42">
        <f t="shared" si="4"/>
        <v>-73846.975061537698</v>
      </c>
      <c r="J26" s="42">
        <f t="shared" si="4"/>
        <v>963369.0249384623</v>
      </c>
      <c r="K26" s="42">
        <f t="shared" si="4"/>
        <v>1766361.0249384623</v>
      </c>
      <c r="L26" s="42">
        <f t="shared" si="4"/>
        <v>2289985.0249384623</v>
      </c>
      <c r="M26" s="42">
        <f t="shared" si="4"/>
        <v>2828239.0249384623</v>
      </c>
      <c r="N26" s="42">
        <f t="shared" si="4"/>
        <v>2915601.0249384623</v>
      </c>
      <c r="O26" s="42">
        <f t="shared" si="4"/>
        <v>2920895.6916051283</v>
      </c>
      <c r="P26" s="42">
        <f t="shared" si="4"/>
        <v>2947369.0249384623</v>
      </c>
      <c r="Q26" s="42">
        <f t="shared" si="4"/>
        <v>2926190.3582717953</v>
      </c>
      <c r="R26" s="42">
        <f t="shared" si="4"/>
        <v>2887804.0249384623</v>
      </c>
      <c r="S26" s="42">
        <f t="shared" si="4"/>
        <v>2872620.7896443447</v>
      </c>
      <c r="T26" s="42">
        <f t="shared" si="4"/>
        <v>2859124.5804940173</v>
      </c>
      <c r="U26" s="42">
        <f t="shared" si="4"/>
        <v>2813609.0249384623</v>
      </c>
      <c r="V26" s="42">
        <f t="shared" si="4"/>
        <v>2820297.0249384623</v>
      </c>
      <c r="W26" s="42">
        <f t="shared" si="4"/>
        <v>2820297.0249384623</v>
      </c>
    </row>
    <row r="28" spans="2:29" x14ac:dyDescent="0.2">
      <c r="B28" s="129" t="s">
        <v>492</v>
      </c>
      <c r="D28" s="83">
        <f>+'Total Revenue &amp; Costs'!D24</f>
        <v>0</v>
      </c>
      <c r="E28" s="83">
        <f>+'Total Revenue &amp; Costs'!E24</f>
        <v>0</v>
      </c>
      <c r="F28" s="83">
        <f ca="1">+'Total Revenue &amp; Costs'!F24</f>
        <v>0</v>
      </c>
      <c r="G28" s="83">
        <f ca="1">+'Total Revenue &amp; Costs'!G24</f>
        <v>0</v>
      </c>
      <c r="H28" s="83">
        <f ca="1">+'Total Revenue &amp; Costs'!H24</f>
        <v>0</v>
      </c>
      <c r="I28" s="83">
        <f ca="1">+'Total Revenue &amp; Costs'!I24</f>
        <v>0</v>
      </c>
      <c r="J28" s="83">
        <f ca="1">+'Total Revenue &amp; Costs'!J24</f>
        <v>0</v>
      </c>
      <c r="K28" s="83">
        <f ca="1">+'Total Revenue &amp; Costs'!K24</f>
        <v>0</v>
      </c>
      <c r="L28" s="83">
        <f ca="1">+'Total Revenue &amp; Costs'!L24</f>
        <v>0</v>
      </c>
      <c r="M28" s="83">
        <f ca="1">+'Total Revenue &amp; Costs'!M24</f>
        <v>0</v>
      </c>
      <c r="N28" s="83">
        <f ca="1">+'Total Revenue &amp; Costs'!N24</f>
        <v>0</v>
      </c>
      <c r="O28" s="83">
        <f ca="1">+'Total Revenue &amp; Costs'!O24</f>
        <v>0</v>
      </c>
      <c r="P28" s="83">
        <f ca="1">+'Total Revenue &amp; Costs'!P24</f>
        <v>0</v>
      </c>
      <c r="Q28" s="83">
        <f ca="1">+'Total Revenue &amp; Costs'!Q24</f>
        <v>0</v>
      </c>
      <c r="R28" s="83">
        <f ca="1">+'Total Revenue &amp; Costs'!R24</f>
        <v>0</v>
      </c>
      <c r="S28" s="83">
        <f ca="1">+'Total Revenue &amp; Costs'!S24</f>
        <v>0</v>
      </c>
      <c r="T28" s="83">
        <f ca="1">+'Total Revenue &amp; Costs'!T24</f>
        <v>0</v>
      </c>
      <c r="U28" s="83">
        <f ca="1">+'Total Revenue &amp; Costs'!U24</f>
        <v>0</v>
      </c>
      <c r="V28" s="83">
        <f ca="1">+'Total Revenue &amp; Costs'!V24</f>
        <v>0</v>
      </c>
      <c r="W28" s="83">
        <f ca="1">+'Total Revenue &amp; Costs'!W24</f>
        <v>0</v>
      </c>
    </row>
    <row r="29" spans="2:29" x14ac:dyDescent="0.2">
      <c r="B29" s="129" t="s">
        <v>493</v>
      </c>
      <c r="D29" s="83">
        <f>+'Total Revenue &amp; Costs'!D23</f>
        <v>0</v>
      </c>
      <c r="E29" s="83">
        <f>+'Total Revenue &amp; Costs'!E23</f>
        <v>1031868.4405362782</v>
      </c>
      <c r="F29" s="83">
        <f ca="1">+'Total Revenue &amp; Costs'!F23</f>
        <v>276287.44105132157</v>
      </c>
      <c r="G29" s="83">
        <f ca="1">+'Total Revenue &amp; Costs'!G23</f>
        <v>203796.42335230764</v>
      </c>
      <c r="H29" s="83">
        <f ca="1">+'Total Revenue &amp; Costs'!H23</f>
        <v>206747.68424974359</v>
      </c>
      <c r="I29" s="83">
        <f ca="1">+'Total Revenue &amp; Costs'!I23</f>
        <v>281304.69750615378</v>
      </c>
      <c r="J29" s="83">
        <f ca="1">+'Total Revenue &amp; Costs'!J23</f>
        <v>314543.0975061538</v>
      </c>
      <c r="K29" s="83">
        <f ca="1">+'Total Revenue &amp; Costs'!K23</f>
        <v>336963.89750615379</v>
      </c>
      <c r="L29" s="83">
        <f ca="1">+'Total Revenue &amp; Costs'!L23</f>
        <v>353081.49750615377</v>
      </c>
      <c r="M29" s="83">
        <f ca="1">+'Total Revenue &amp; Costs'!M23</f>
        <v>367736.0975061538</v>
      </c>
      <c r="N29" s="83">
        <f ca="1">+'Total Revenue &amp; Costs'!N23</f>
        <v>358999.89750615379</v>
      </c>
      <c r="O29" s="83">
        <f ca="1">+'Total Revenue &amp; Costs'!O23</f>
        <v>358470.43083948718</v>
      </c>
      <c r="P29" s="83">
        <f ca="1">+'Total Revenue &amp; Costs'!P23</f>
        <v>355823.0975061538</v>
      </c>
      <c r="Q29" s="83">
        <f ca="1">+'Total Revenue &amp; Costs'!Q23</f>
        <v>357940.9641728205</v>
      </c>
      <c r="R29" s="83">
        <f ca="1">+'Total Revenue &amp; Costs'!R23</f>
        <v>361779.5975061538</v>
      </c>
      <c r="S29" s="83">
        <f ca="1">+'Total Revenue &amp; Costs'!S23</f>
        <v>363297.92103556555</v>
      </c>
      <c r="T29" s="83">
        <f ca="1">+'Total Revenue &amp; Costs'!T23</f>
        <v>364647.5419505983</v>
      </c>
      <c r="U29" s="83">
        <f ca="1">+'Total Revenue &amp; Costs'!U23</f>
        <v>369199.0975061538</v>
      </c>
      <c r="V29" s="83">
        <f ca="1">+'Total Revenue &amp; Costs'!V23</f>
        <v>368530.29750615382</v>
      </c>
      <c r="W29" s="83">
        <f ca="1">+'Total Revenue &amp; Costs'!W23</f>
        <v>368530.29750615382</v>
      </c>
    </row>
    <row r="30" spans="2:29" x14ac:dyDescent="0.2">
      <c r="B30" s="2" t="s">
        <v>404</v>
      </c>
      <c r="D30" s="83">
        <f>+Finance!D102+Finance!D103</f>
        <v>0</v>
      </c>
      <c r="E30" s="83">
        <f>+Finance!E102+Finance!E103</f>
        <v>515934.22026813909</v>
      </c>
      <c r="F30" s="83">
        <f>+Finance!F102+Finance!F103</f>
        <v>654077.94079379982</v>
      </c>
      <c r="G30" s="83">
        <f>+Finance!G102+Finance!G103</f>
        <v>755976.15246995364</v>
      </c>
      <c r="H30" s="83">
        <f>+Finance!H102+Finance!H103</f>
        <v>832810.26126149204</v>
      </c>
      <c r="I30" s="83">
        <f>+Finance!I102+Finance!I103</f>
        <v>832810.26126149204</v>
      </c>
      <c r="J30" s="83">
        <f>+Finance!J102+Finance!J103</f>
        <v>832810.26126149204</v>
      </c>
      <c r="K30" s="83">
        <f>+Finance!K102+Finance!K103</f>
        <v>832810.26126149204</v>
      </c>
      <c r="L30" s="83">
        <f>+Finance!L102+Finance!L103</f>
        <v>832810.26126149204</v>
      </c>
      <c r="M30" s="83">
        <f>+Finance!M102+Finance!M103</f>
        <v>832810.26126149204</v>
      </c>
      <c r="N30" s="83">
        <f>+Finance!N102+Finance!N103</f>
        <v>832810.26126149204</v>
      </c>
      <c r="O30" s="83">
        <f>+Finance!O102+Finance!O103</f>
        <v>832810.26126149204</v>
      </c>
      <c r="P30" s="83">
        <f>+Finance!P102+Finance!P103</f>
        <v>832810.26126149204</v>
      </c>
      <c r="Q30" s="83">
        <f>+Finance!Q102+Finance!Q103</f>
        <v>832810.26126149204</v>
      </c>
      <c r="R30" s="83">
        <f>+Finance!R102+Finance!R103</f>
        <v>832810.26126149204</v>
      </c>
      <c r="S30" s="83">
        <f>+Finance!S102+Finance!S103</f>
        <v>832810.26126149204</v>
      </c>
      <c r="T30" s="83">
        <f>+Finance!T102+Finance!T103</f>
        <v>832810.26126149204</v>
      </c>
      <c r="U30" s="83">
        <f>+Finance!U102+Finance!U103</f>
        <v>832810.26126149204</v>
      </c>
      <c r="V30" s="83">
        <f>+Finance!V102+Finance!V103</f>
        <v>832810.26126149204</v>
      </c>
      <c r="W30" s="83">
        <f>+Finance!W102+Finance!W103</f>
        <v>832810.26126149204</v>
      </c>
    </row>
    <row r="32" spans="2:29" x14ac:dyDescent="0.2">
      <c r="B32" s="41" t="s">
        <v>184</v>
      </c>
      <c r="C32" s="41"/>
      <c r="D32" s="42">
        <f t="shared" ref="D32:W32" si="5">+D26-SUM(D28:D30)</f>
        <v>0</v>
      </c>
      <c r="E32" s="42">
        <f t="shared" si="5"/>
        <v>-1547802.6608044172</v>
      </c>
      <c r="F32" s="42">
        <f t="shared" ca="1" si="5"/>
        <v>-930365.38184512139</v>
      </c>
      <c r="G32" s="42">
        <f t="shared" ca="1" si="5"/>
        <v>-959772.57582226128</v>
      </c>
      <c r="H32" s="42">
        <f t="shared" ca="1" si="5"/>
        <v>-200752.61217790237</v>
      </c>
      <c r="I32" s="42">
        <f t="shared" ca="1" si="5"/>
        <v>-1187961.9338291835</v>
      </c>
      <c r="J32" s="42">
        <f t="shared" ca="1" si="5"/>
        <v>-183984.3338291836</v>
      </c>
      <c r="K32" s="42">
        <f t="shared" ca="1" si="5"/>
        <v>596586.86617081659</v>
      </c>
      <c r="L32" s="42">
        <f t="shared" ca="1" si="5"/>
        <v>1104093.2661708165</v>
      </c>
      <c r="M32" s="42">
        <f t="shared" ca="1" si="5"/>
        <v>1627692.6661708164</v>
      </c>
      <c r="N32" s="42">
        <f t="shared" ca="1" si="5"/>
        <v>1723790.8661708166</v>
      </c>
      <c r="O32" s="42">
        <f t="shared" ca="1" si="5"/>
        <v>1729614.9995041492</v>
      </c>
      <c r="P32" s="42">
        <f t="shared" ca="1" si="5"/>
        <v>1758735.6661708164</v>
      </c>
      <c r="Q32" s="42">
        <f t="shared" ca="1" si="5"/>
        <v>1735439.1328374827</v>
      </c>
      <c r="R32" s="42">
        <f t="shared" ca="1" si="5"/>
        <v>1693214.1661708164</v>
      </c>
      <c r="S32" s="42">
        <f t="shared" ca="1" si="5"/>
        <v>1676512.6073472872</v>
      </c>
      <c r="T32" s="42">
        <f t="shared" ca="1" si="5"/>
        <v>1661666.7772819269</v>
      </c>
      <c r="U32" s="42">
        <f t="shared" ca="1" si="5"/>
        <v>1611599.6661708164</v>
      </c>
      <c r="V32" s="42">
        <f t="shared" ca="1" si="5"/>
        <v>1618956.4661708164</v>
      </c>
      <c r="W32" s="42">
        <f t="shared" ca="1" si="5"/>
        <v>1618956.4661708164</v>
      </c>
    </row>
    <row r="33" spans="2:23" x14ac:dyDescent="0.2"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7"/>
      <c r="P33" s="123"/>
    </row>
    <row r="34" spans="2:23" x14ac:dyDescent="0.2">
      <c r="B34" s="2" t="s">
        <v>185</v>
      </c>
      <c r="D34" s="83">
        <f ca="1">+Finance!D100</f>
        <v>0</v>
      </c>
      <c r="E34" s="83">
        <f ca="1">+Finance!E100</f>
        <v>0</v>
      </c>
      <c r="F34" s="83">
        <f ca="1">+Finance!F100</f>
        <v>340516.58999999997</v>
      </c>
      <c r="G34" s="83">
        <f ca="1">+Finance!G100</f>
        <v>441906.94769999996</v>
      </c>
      <c r="H34" s="83">
        <f ca="1">+Finance!H100</f>
        <v>522416.95613100001</v>
      </c>
      <c r="I34" s="83">
        <f ca="1">+Finance!I100</f>
        <v>565228.21481492999</v>
      </c>
      <c r="J34" s="83">
        <f ca="1">+Finance!J100</f>
        <v>592839.62125937792</v>
      </c>
      <c r="K34" s="83">
        <f ca="1">+Finance!K100</f>
        <v>591160.0298971592</v>
      </c>
      <c r="L34" s="83">
        <f ca="1">+Finance!L100</f>
        <v>566012.89079407405</v>
      </c>
      <c r="M34" s="83">
        <f ca="1">+Finance!M100</f>
        <v>530606.07751789619</v>
      </c>
      <c r="N34" s="83">
        <f ca="1">+Finance!N100</f>
        <v>487973.85984343314</v>
      </c>
      <c r="O34" s="83">
        <f ca="1">+Finance!O100</f>
        <v>444062.67563873611</v>
      </c>
      <c r="P34" s="83">
        <f ca="1">+Finance!P100</f>
        <v>398834.15590789821</v>
      </c>
      <c r="Q34" s="83">
        <f ca="1">+Finance!Q100</f>
        <v>352248.78058513516</v>
      </c>
      <c r="R34" s="83">
        <f ca="1">+Finance!R100</f>
        <v>304265.84400268918</v>
      </c>
      <c r="S34" s="83">
        <f ca="1">+Finance!S100</f>
        <v>254843.41932276986</v>
      </c>
      <c r="T34" s="83">
        <f ca="1">+Finance!T100</f>
        <v>203938.32190245297</v>
      </c>
      <c r="U34" s="83">
        <f ca="1">+Finance!U100</f>
        <v>151506.07155952655</v>
      </c>
      <c r="V34" s="83">
        <f ca="1">+Finance!V100</f>
        <v>97500.853706312351</v>
      </c>
      <c r="W34" s="83">
        <f ca="1">+Finance!W100</f>
        <v>41875.479317501718</v>
      </c>
    </row>
    <row r="35" spans="2:23" x14ac:dyDescent="0.2">
      <c r="B35" s="2" t="s">
        <v>186</v>
      </c>
    </row>
    <row r="36" spans="2:23" x14ac:dyDescent="0.2">
      <c r="B36" s="2" t="s">
        <v>187</v>
      </c>
    </row>
    <row r="37" spans="2:23" x14ac:dyDescent="0.2">
      <c r="B37" s="38" t="s">
        <v>188</v>
      </c>
    </row>
    <row r="39" spans="2:23" x14ac:dyDescent="0.2">
      <c r="B39" s="41" t="s">
        <v>189</v>
      </c>
      <c r="C39" s="41"/>
      <c r="D39" s="42">
        <f ca="1">+D32-SUM(D34:D37)</f>
        <v>0</v>
      </c>
      <c r="E39" s="42">
        <f t="shared" ref="E39:W39" ca="1" si="6">+E32-SUM(E34:E37)</f>
        <v>-1547802.6608044172</v>
      </c>
      <c r="F39" s="42">
        <f t="shared" ca="1" si="6"/>
        <v>-1270881.9718451214</v>
      </c>
      <c r="G39" s="42">
        <f t="shared" ca="1" si="6"/>
        <v>-1401679.5235222613</v>
      </c>
      <c r="H39" s="42">
        <f t="shared" ca="1" si="6"/>
        <v>-723169.56830890244</v>
      </c>
      <c r="I39" s="42">
        <f t="shared" ca="1" si="6"/>
        <v>-1753190.1486441134</v>
      </c>
      <c r="J39" s="42">
        <f t="shared" ca="1" si="6"/>
        <v>-776823.95508856152</v>
      </c>
      <c r="K39" s="42">
        <f t="shared" ca="1" si="6"/>
        <v>5426.8362736573908</v>
      </c>
      <c r="L39" s="42">
        <f t="shared" ca="1" si="6"/>
        <v>538080.37537674245</v>
      </c>
      <c r="M39" s="42">
        <f t="shared" ca="1" si="6"/>
        <v>1097086.5886529202</v>
      </c>
      <c r="N39" s="42">
        <f t="shared" ca="1" si="6"/>
        <v>1235817.0063273835</v>
      </c>
      <c r="O39" s="42">
        <f t="shared" ca="1" si="6"/>
        <v>1285552.3238654132</v>
      </c>
      <c r="P39" s="42">
        <f t="shared" ca="1" si="6"/>
        <v>1359901.5102629182</v>
      </c>
      <c r="Q39" s="42">
        <f t="shared" ca="1" si="6"/>
        <v>1383190.3522523476</v>
      </c>
      <c r="R39" s="42">
        <f t="shared" ca="1" si="6"/>
        <v>1388948.3221681272</v>
      </c>
      <c r="S39" s="42">
        <f t="shared" ca="1" si="6"/>
        <v>1421669.1880245174</v>
      </c>
      <c r="T39" s="42">
        <f t="shared" ca="1" si="6"/>
        <v>1457728.455379474</v>
      </c>
      <c r="U39" s="42">
        <f t="shared" ca="1" si="6"/>
        <v>1460093.5946112899</v>
      </c>
      <c r="V39" s="42">
        <f t="shared" ca="1" si="6"/>
        <v>1521455.6124645041</v>
      </c>
      <c r="W39" s="42">
        <f t="shared" ca="1" si="6"/>
        <v>1577080.9868533148</v>
      </c>
    </row>
    <row r="41" spans="2:23" x14ac:dyDescent="0.2">
      <c r="B41" s="2" t="s">
        <v>190</v>
      </c>
      <c r="C41" s="76">
        <f>'Inputs General'!E22</f>
        <v>0</v>
      </c>
      <c r="E41" s="83">
        <f ca="1">+IF(SUM($E39:E39)&lt;0,0,E39*$C41)</f>
        <v>0</v>
      </c>
      <c r="F41" s="83">
        <f ca="1">+IF(SUM($E39:F39)&lt;0,0,F39*$C41)</f>
        <v>0</v>
      </c>
      <c r="G41" s="83">
        <f ca="1">+IF(SUM($E39:G39)&lt;0,0,G39*$C41)</f>
        <v>0</v>
      </c>
      <c r="H41" s="83">
        <f ca="1">+IF(SUM($E39:H39)&lt;0,0,H39*$C41)</f>
        <v>0</v>
      </c>
      <c r="I41" s="83">
        <f ca="1">+IF(SUM($E39:I39)&lt;0,0,I39*$C41)</f>
        <v>0</v>
      </c>
      <c r="J41" s="83">
        <f ca="1">+IF(SUM($E39:J39)&lt;0,0,J39*$C41)</f>
        <v>0</v>
      </c>
      <c r="K41" s="83">
        <f ca="1">+IF(SUM($E39:K39)&lt;0,0,K39*$C41)</f>
        <v>0</v>
      </c>
      <c r="L41" s="83">
        <f ca="1">+IF(SUM($E39:L39)&lt;0,0,L39*$C41)</f>
        <v>0</v>
      </c>
      <c r="M41" s="83">
        <f ca="1">+IF(SUM($E39:M39)&lt;0,0,M39*$C41)</f>
        <v>0</v>
      </c>
      <c r="N41" s="83">
        <f ca="1">+IF(SUM($E39:N39)&lt;0,0,N39*$C41)</f>
        <v>0</v>
      </c>
      <c r="O41" s="83">
        <f ca="1">+IF(SUM($E39:O39)&lt;0,0,O39*$C41)</f>
        <v>0</v>
      </c>
      <c r="P41" s="83">
        <f ca="1">+IF(SUM($E39:P39)&lt;0,0,P39*$C41)</f>
        <v>0</v>
      </c>
      <c r="Q41" s="83">
        <f ca="1">+IF(SUM($E39:Q39)&lt;0,0,Q39*$C41)</f>
        <v>0</v>
      </c>
      <c r="R41" s="83">
        <f ca="1">+IF(SUM($E39:R39)&lt;0,0,R39*$C41)</f>
        <v>0</v>
      </c>
      <c r="S41" s="83">
        <f ca="1">+IF(SUM($E39:S39)&lt;0,0,S39*$C41)</f>
        <v>0</v>
      </c>
      <c r="T41" s="83">
        <f ca="1">+IF(SUM($E39:T39)&lt;0,0,T39*$C41)</f>
        <v>0</v>
      </c>
      <c r="U41" s="83">
        <f ca="1">+IF(SUM($E39:U39)&lt;0,0,U39*$C41)</f>
        <v>0</v>
      </c>
      <c r="V41" s="83">
        <f ca="1">+IF(SUM($E39:V39)&lt;0,0,V39*$C41)</f>
        <v>0</v>
      </c>
      <c r="W41" s="83">
        <f ca="1">+IF(SUM($E39:W39)&lt;0,0,W39*$C41)</f>
        <v>0</v>
      </c>
    </row>
    <row r="43" spans="2:23" x14ac:dyDescent="0.2">
      <c r="B43" s="41" t="s">
        <v>191</v>
      </c>
      <c r="C43" s="41"/>
      <c r="D43" s="42">
        <f ca="1">+D39-D41</f>
        <v>0</v>
      </c>
      <c r="E43" s="42">
        <f t="shared" ref="E43:W43" ca="1" si="7">+E39-E41</f>
        <v>-1547802.6608044172</v>
      </c>
      <c r="F43" s="42">
        <f t="shared" ca="1" si="7"/>
        <v>-1270881.9718451214</v>
      </c>
      <c r="G43" s="42">
        <f t="shared" ca="1" si="7"/>
        <v>-1401679.5235222613</v>
      </c>
      <c r="H43" s="42">
        <f t="shared" ca="1" si="7"/>
        <v>-723169.56830890244</v>
      </c>
      <c r="I43" s="42">
        <f t="shared" ca="1" si="7"/>
        <v>-1753190.1486441134</v>
      </c>
      <c r="J43" s="42">
        <f t="shared" ca="1" si="7"/>
        <v>-776823.95508856152</v>
      </c>
      <c r="K43" s="42">
        <f t="shared" ca="1" si="7"/>
        <v>5426.8362736573908</v>
      </c>
      <c r="L43" s="42">
        <f ca="1">+L39-L41</f>
        <v>538080.37537674245</v>
      </c>
      <c r="M43" s="42">
        <f t="shared" ca="1" si="7"/>
        <v>1097086.5886529202</v>
      </c>
      <c r="N43" s="42">
        <f t="shared" ca="1" si="7"/>
        <v>1235817.0063273835</v>
      </c>
      <c r="O43" s="42">
        <f t="shared" ca="1" si="7"/>
        <v>1285552.3238654132</v>
      </c>
      <c r="P43" s="42">
        <f t="shared" ca="1" si="7"/>
        <v>1359901.5102629182</v>
      </c>
      <c r="Q43" s="42">
        <f t="shared" ca="1" si="7"/>
        <v>1383190.3522523476</v>
      </c>
      <c r="R43" s="42">
        <f t="shared" ca="1" si="7"/>
        <v>1388948.3221681272</v>
      </c>
      <c r="S43" s="42">
        <f ca="1">+S39-S41</f>
        <v>1421669.1880245174</v>
      </c>
      <c r="T43" s="42">
        <f t="shared" ca="1" si="7"/>
        <v>1457728.455379474</v>
      </c>
      <c r="U43" s="42">
        <f t="shared" ca="1" si="7"/>
        <v>1460093.5946112899</v>
      </c>
      <c r="V43" s="42">
        <f t="shared" ca="1" si="7"/>
        <v>1521455.6124645041</v>
      </c>
      <c r="W43" s="42">
        <f t="shared" ca="1" si="7"/>
        <v>1577080.9868533148</v>
      </c>
    </row>
    <row r="45" spans="2:23" x14ac:dyDescent="0.2">
      <c r="B45" s="2" t="s">
        <v>192</v>
      </c>
    </row>
    <row r="46" spans="2:23" x14ac:dyDescent="0.2">
      <c r="B46" s="2" t="s">
        <v>193</v>
      </c>
    </row>
    <row r="48" spans="2:23" x14ac:dyDescent="0.2">
      <c r="B48" s="41" t="s">
        <v>194</v>
      </c>
      <c r="C48" s="41"/>
      <c r="D48" s="42">
        <f ca="1">+D43-SUM(D45:D46)</f>
        <v>0</v>
      </c>
      <c r="E48" s="42">
        <f t="shared" ref="E48:W48" ca="1" si="8">+E43-SUM(E45:E46)</f>
        <v>-1547802.6608044172</v>
      </c>
      <c r="F48" s="42">
        <f t="shared" ca="1" si="8"/>
        <v>-1270881.9718451214</v>
      </c>
      <c r="G48" s="42">
        <f t="shared" ca="1" si="8"/>
        <v>-1401679.5235222613</v>
      </c>
      <c r="H48" s="42">
        <f t="shared" ca="1" si="8"/>
        <v>-723169.56830890244</v>
      </c>
      <c r="I48" s="42">
        <f t="shared" ca="1" si="8"/>
        <v>-1753190.1486441134</v>
      </c>
      <c r="J48" s="42">
        <f t="shared" ca="1" si="8"/>
        <v>-776823.95508856152</v>
      </c>
      <c r="K48" s="42">
        <f t="shared" ca="1" si="8"/>
        <v>5426.8362736573908</v>
      </c>
      <c r="L48" s="42">
        <f ca="1">+L43-SUM(L45:L46)</f>
        <v>538080.37537674245</v>
      </c>
      <c r="M48" s="42">
        <f t="shared" ca="1" si="8"/>
        <v>1097086.5886529202</v>
      </c>
      <c r="N48" s="42">
        <f t="shared" ca="1" si="8"/>
        <v>1235817.0063273835</v>
      </c>
      <c r="O48" s="42">
        <f t="shared" ca="1" si="8"/>
        <v>1285552.3238654132</v>
      </c>
      <c r="P48" s="42">
        <f t="shared" ca="1" si="8"/>
        <v>1359901.5102629182</v>
      </c>
      <c r="Q48" s="42">
        <f t="shared" ca="1" si="8"/>
        <v>1383190.3522523476</v>
      </c>
      <c r="R48" s="42">
        <f t="shared" ca="1" si="8"/>
        <v>1388948.3221681272</v>
      </c>
      <c r="S48" s="42">
        <f t="shared" ca="1" si="8"/>
        <v>1421669.1880245174</v>
      </c>
      <c r="T48" s="42">
        <f t="shared" ca="1" si="8"/>
        <v>1457728.455379474</v>
      </c>
      <c r="U48" s="42">
        <f t="shared" ca="1" si="8"/>
        <v>1460093.5946112899</v>
      </c>
      <c r="V48" s="42">
        <f t="shared" ca="1" si="8"/>
        <v>1521455.6124645041</v>
      </c>
      <c r="W48" s="42">
        <f t="shared" ca="1" si="8"/>
        <v>1577080.9868533148</v>
      </c>
    </row>
    <row r="50" spans="2:23" x14ac:dyDescent="0.2">
      <c r="B50" s="2" t="s">
        <v>195</v>
      </c>
      <c r="D50" s="82" t="e">
        <f t="shared" ref="D50:W50" si="9">+D26/D14</f>
        <v>#DIV/0!</v>
      </c>
      <c r="E50" s="82" t="e">
        <f t="shared" si="9"/>
        <v>#DIV/0!</v>
      </c>
      <c r="F50" s="82" t="e">
        <f t="shared" si="9"/>
        <v>#DIV/0!</v>
      </c>
      <c r="G50" s="82" t="e">
        <f t="shared" si="9"/>
        <v>#DIV/0!</v>
      </c>
      <c r="H50" s="82">
        <f t="shared" si="9"/>
        <v>0.61244548286604361</v>
      </c>
      <c r="I50" s="82">
        <f t="shared" si="9"/>
        <v>-2.6959322087302021E-2</v>
      </c>
      <c r="J50" s="82">
        <f t="shared" si="9"/>
        <v>0.23446481331251517</v>
      </c>
      <c r="K50" s="82">
        <f t="shared" si="9"/>
        <v>0.34391764504253547</v>
      </c>
      <c r="L50" s="82">
        <f t="shared" si="9"/>
        <v>0.39341413979838891</v>
      </c>
      <c r="M50" s="82">
        <f t="shared" si="9"/>
        <v>0.4347391516445005</v>
      </c>
      <c r="N50" s="82">
        <f t="shared" si="9"/>
        <v>0.44816788996225748</v>
      </c>
      <c r="O50" s="82">
        <f t="shared" si="9"/>
        <v>0.44898175289060632</v>
      </c>
      <c r="P50" s="82">
        <f t="shared" si="9"/>
        <v>0.45305106753235097</v>
      </c>
      <c r="Q50" s="82">
        <f t="shared" si="9"/>
        <v>0.44979561581895527</v>
      </c>
      <c r="R50" s="82">
        <f t="shared" si="9"/>
        <v>0.44389510958842571</v>
      </c>
      <c r="S50" s="82">
        <f t="shared" si="9"/>
        <v>0.44156123795566049</v>
      </c>
      <c r="T50" s="82">
        <f t="shared" si="9"/>
        <v>0.43948668539320235</v>
      </c>
      <c r="U50" s="82">
        <f t="shared" si="9"/>
        <v>0.43249031986879954</v>
      </c>
      <c r="V50" s="82">
        <f t="shared" si="9"/>
        <v>0.43351835725197713</v>
      </c>
      <c r="W50" s="82">
        <f t="shared" si="9"/>
        <v>0.43351835725197713</v>
      </c>
    </row>
    <row r="53" spans="2:23" x14ac:dyDescent="0.2">
      <c r="B53" s="2" t="s">
        <v>202</v>
      </c>
    </row>
    <row r="54" spans="2:23" x14ac:dyDescent="0.2">
      <c r="B54" s="2" t="s">
        <v>201</v>
      </c>
      <c r="D54" s="83">
        <f ca="1">+D48</f>
        <v>0</v>
      </c>
      <c r="E54" s="83">
        <f t="shared" ref="E54:W54" ca="1" si="10">+E48+D54</f>
        <v>-1547802.6608044172</v>
      </c>
      <c r="F54" s="83">
        <f t="shared" ca="1" si="10"/>
        <v>-2818684.6326495386</v>
      </c>
      <c r="G54" s="83">
        <f t="shared" ca="1" si="10"/>
        <v>-4220364.1561717996</v>
      </c>
      <c r="H54" s="83">
        <f t="shared" ca="1" si="10"/>
        <v>-4943533.7244807016</v>
      </c>
      <c r="I54" s="83">
        <f t="shared" ca="1" si="10"/>
        <v>-6696723.8731248155</v>
      </c>
      <c r="J54" s="83">
        <f t="shared" ca="1" si="10"/>
        <v>-7473547.8282133769</v>
      </c>
      <c r="K54" s="83">
        <f t="shared" ca="1" si="10"/>
        <v>-7468120.9919397198</v>
      </c>
      <c r="L54" s="83">
        <f t="shared" ca="1" si="10"/>
        <v>-6930040.6165629774</v>
      </c>
      <c r="M54" s="83">
        <f t="shared" ca="1" si="10"/>
        <v>-5832954.0279100575</v>
      </c>
      <c r="N54" s="83">
        <f t="shared" ca="1" si="10"/>
        <v>-4597137.0215826742</v>
      </c>
      <c r="O54" s="83">
        <f t="shared" ca="1" si="10"/>
        <v>-3311584.697717261</v>
      </c>
      <c r="P54" s="83">
        <f t="shared" ca="1" si="10"/>
        <v>-1951683.1874543428</v>
      </c>
      <c r="Q54" s="83">
        <f t="shared" ca="1" si="10"/>
        <v>-568492.83520199521</v>
      </c>
      <c r="R54" s="83">
        <f t="shared" ca="1" si="10"/>
        <v>820455.48696613195</v>
      </c>
      <c r="S54" s="83">
        <f t="shared" ca="1" si="10"/>
        <v>2242124.6749906493</v>
      </c>
      <c r="T54" s="83">
        <f t="shared" ca="1" si="10"/>
        <v>3699853.1303701233</v>
      </c>
      <c r="U54" s="83">
        <f t="shared" ca="1" si="10"/>
        <v>5159946.7249814132</v>
      </c>
      <c r="V54" s="83">
        <f t="shared" ca="1" si="10"/>
        <v>6681402.3374459175</v>
      </c>
      <c r="W54" s="83">
        <f t="shared" ca="1" si="10"/>
        <v>8258483.3242992321</v>
      </c>
    </row>
    <row r="64" spans="2:23" x14ac:dyDescent="0.2"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</row>
    <row r="65" spans="4:23" x14ac:dyDescent="0.2"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</row>
    <row r="66" spans="4:23" x14ac:dyDescent="0.2"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</row>
    <row r="67" spans="4:23" x14ac:dyDescent="0.2"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</row>
    <row r="68" spans="4:23" x14ac:dyDescent="0.2"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</row>
    <row r="69" spans="4:23" x14ac:dyDescent="0.2"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</row>
    <row r="70" spans="4:23" x14ac:dyDescent="0.2"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</row>
    <row r="71" spans="4:23" x14ac:dyDescent="0.2"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</row>
    <row r="72" spans="4:23" x14ac:dyDescent="0.2"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</row>
    <row r="73" spans="4:23" x14ac:dyDescent="0.2"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</row>
    <row r="74" spans="4:23" x14ac:dyDescent="0.2"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</row>
    <row r="75" spans="4:23" x14ac:dyDescent="0.2"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</row>
    <row r="76" spans="4:23" x14ac:dyDescent="0.2"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</row>
    <row r="77" spans="4:23" x14ac:dyDescent="0.2"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</row>
    <row r="78" spans="4:23" x14ac:dyDescent="0.2"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</row>
    <row r="79" spans="4:23" x14ac:dyDescent="0.2"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</row>
    <row r="81" spans="4:23" x14ac:dyDescent="0.2"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</row>
    <row r="82" spans="4:23" x14ac:dyDescent="0.2"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</row>
    <row r="84" spans="4:23" x14ac:dyDescent="0.2"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</row>
    <row r="85" spans="4:23" x14ac:dyDescent="0.2"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</row>
    <row r="87" spans="4:23" x14ac:dyDescent="0.2">
      <c r="D87" s="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Y44"/>
  <sheetViews>
    <sheetView showGridLines="0"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2" sqref="B2"/>
      <selection pane="bottomRight" activeCell="E14" sqref="E14"/>
    </sheetView>
  </sheetViews>
  <sheetFormatPr defaultRowHeight="12.75" x14ac:dyDescent="0.2"/>
  <cols>
    <col min="1" max="1" width="9.140625" style="2"/>
    <col min="2" max="2" width="44.85546875" style="2" customWidth="1"/>
    <col min="3" max="3" width="14.85546875" style="2" customWidth="1"/>
    <col min="4" max="23" width="15.7109375" style="2" customWidth="1"/>
    <col min="24" max="24" width="9.140625" style="2"/>
    <col min="25" max="25" width="11" style="2" customWidth="1"/>
    <col min="26" max="16384" width="9.140625" style="2"/>
  </cols>
  <sheetData>
    <row r="1" spans="2:25" ht="13.5" thickBot="1" x14ac:dyDescent="0.25"/>
    <row r="2" spans="2:25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3.5" thickTop="1" x14ac:dyDescent="0.2"/>
    <row r="4" spans="2:25" x14ac:dyDescent="0.2">
      <c r="B4" s="1" t="s">
        <v>399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  <c r="Y4" s="121" t="s">
        <v>86</v>
      </c>
    </row>
    <row r="5" spans="2:25" x14ac:dyDescent="0.2">
      <c r="B5" s="2" t="s">
        <v>116</v>
      </c>
      <c r="D5" s="82">
        <v>1</v>
      </c>
      <c r="E5" s="82">
        <f>$D5*(1+'Inputs General'!$C5)^(E4-$D4)</f>
        <v>1</v>
      </c>
      <c r="F5" s="82">
        <f>$D5*(1+'Inputs General'!$C5)^(F4-$D4)</f>
        <v>1</v>
      </c>
      <c r="G5" s="82">
        <f>$D5*(1+'Inputs General'!$C5)^(G4-$D4)</f>
        <v>1</v>
      </c>
      <c r="H5" s="82">
        <f>$D5*(1+'Inputs General'!$C5)^(H4-$D4)</f>
        <v>1</v>
      </c>
      <c r="I5" s="82">
        <f>$D5*(1+'Inputs General'!$C5)^(I4-$D4)</f>
        <v>1</v>
      </c>
      <c r="J5" s="82">
        <f>$D5*(1+'Inputs General'!$C5)^(J4-$D4)</f>
        <v>1</v>
      </c>
      <c r="K5" s="82">
        <f>$D5*(1+'Inputs General'!$C5)^(K4-$D4)</f>
        <v>1</v>
      </c>
      <c r="L5" s="82">
        <f>$D5*(1+'Inputs General'!$C5)^(L4-$D4)</f>
        <v>1</v>
      </c>
      <c r="M5" s="82">
        <f>$D5*(1+'Inputs General'!$C5)^(M4-$D4)</f>
        <v>1</v>
      </c>
      <c r="N5" s="82">
        <f>$D5*(1+'Inputs General'!$C5)^(N4-$D4)</f>
        <v>1</v>
      </c>
      <c r="O5" s="82">
        <f>$D5*(1+'Inputs General'!$C5)^(O4-$D4)</f>
        <v>1</v>
      </c>
      <c r="P5" s="82">
        <f>$D5*(1+'Inputs General'!$C5)^(P4-$D4)</f>
        <v>1</v>
      </c>
      <c r="Q5" s="82">
        <f>$D5*(1+'Inputs General'!$C5)^(Q4-$D4)</f>
        <v>1</v>
      </c>
      <c r="R5" s="82">
        <f>$D5*(1+'Inputs General'!$C5)^(R4-$D4)</f>
        <v>1</v>
      </c>
      <c r="S5" s="82">
        <f>$D5*(1+'Inputs General'!$C5)^(S4-$D4)</f>
        <v>1</v>
      </c>
      <c r="T5" s="82">
        <f>$D5*(1+'Inputs General'!$C5)^(T4-$D4)</f>
        <v>1</v>
      </c>
      <c r="U5" s="82">
        <f>$D5*(1+'Inputs General'!$C5)^(U4-$D4)</f>
        <v>1</v>
      </c>
      <c r="V5" s="82">
        <f>$D5*(1+'Inputs General'!$C5)^(V4-$D4)</f>
        <v>1</v>
      </c>
      <c r="W5" s="82">
        <f>$D5*(1+'Inputs General'!$C5)^(W4-$D4)</f>
        <v>1</v>
      </c>
      <c r="Y5" s="121">
        <f>COUNT(D5:W5)</f>
        <v>20</v>
      </c>
    </row>
    <row r="7" spans="2:25" x14ac:dyDescent="0.2">
      <c r="B7" s="2" t="s">
        <v>150</v>
      </c>
      <c r="C7" s="3"/>
      <c r="D7" s="83">
        <f>+'Field Ops'!F17</f>
        <v>0</v>
      </c>
      <c r="E7" s="83">
        <f>+'Field Ops'!G17</f>
        <v>3200</v>
      </c>
      <c r="F7" s="83">
        <f>+'Field Ops'!H17</f>
        <v>3200</v>
      </c>
      <c r="G7" s="83">
        <f>+'Field Ops'!I17</f>
        <v>3200</v>
      </c>
      <c r="H7" s="83">
        <f>+'Field Ops'!J17</f>
        <v>3200</v>
      </c>
      <c r="I7" s="83">
        <f>+'Field Ops'!K17</f>
        <v>3200</v>
      </c>
      <c r="J7" s="83">
        <f>+'Field Ops'!L17</f>
        <v>3200</v>
      </c>
      <c r="K7" s="83">
        <f>+'Field Ops'!M17</f>
        <v>3200</v>
      </c>
      <c r="L7" s="83">
        <f>+'Field Ops'!N17</f>
        <v>3200</v>
      </c>
      <c r="M7" s="83">
        <f>+'Field Ops'!O17</f>
        <v>3200</v>
      </c>
      <c r="N7" s="83">
        <f>+'Field Ops'!P17</f>
        <v>3200</v>
      </c>
      <c r="O7" s="83">
        <f>+'Field Ops'!Q17</f>
        <v>3200</v>
      </c>
      <c r="P7" s="83">
        <f>+'Field Ops'!R17</f>
        <v>3200</v>
      </c>
      <c r="Q7" s="83">
        <f>+'Field Ops'!S17</f>
        <v>3200</v>
      </c>
      <c r="R7" s="83">
        <f>+'Field Ops'!T17</f>
        <v>3200</v>
      </c>
      <c r="S7" s="83">
        <f>+'Field Ops'!U17</f>
        <v>3200</v>
      </c>
      <c r="T7" s="83">
        <f>+'Field Ops'!V17</f>
        <v>3200</v>
      </c>
      <c r="U7" s="83">
        <f>+'Field Ops'!W17</f>
        <v>3200</v>
      </c>
      <c r="V7" s="83">
        <f>+'Field Ops'!X17</f>
        <v>3200</v>
      </c>
      <c r="W7" s="83">
        <f>+'Field Ops'!Y17</f>
        <v>3200</v>
      </c>
      <c r="Y7" s="123">
        <f>+W7</f>
        <v>3200</v>
      </c>
    </row>
    <row r="8" spans="2:25" x14ac:dyDescent="0.2">
      <c r="B8" s="2" t="s">
        <v>153</v>
      </c>
      <c r="C8" s="3"/>
      <c r="D8" s="83">
        <f>+D7</f>
        <v>0</v>
      </c>
      <c r="E8" s="123">
        <f t="shared" ref="E8:W8" si="1">+E7</f>
        <v>3200</v>
      </c>
      <c r="F8" s="123">
        <f t="shared" si="1"/>
        <v>3200</v>
      </c>
      <c r="G8" s="123">
        <f t="shared" si="1"/>
        <v>3200</v>
      </c>
      <c r="H8" s="123">
        <f t="shared" si="1"/>
        <v>3200</v>
      </c>
      <c r="I8" s="123">
        <f t="shared" si="1"/>
        <v>3200</v>
      </c>
      <c r="J8" s="123">
        <f t="shared" si="1"/>
        <v>3200</v>
      </c>
      <c r="K8" s="123">
        <f t="shared" si="1"/>
        <v>3200</v>
      </c>
      <c r="L8" s="123">
        <f t="shared" si="1"/>
        <v>3200</v>
      </c>
      <c r="M8" s="123">
        <f t="shared" si="1"/>
        <v>3200</v>
      </c>
      <c r="N8" s="123">
        <f t="shared" si="1"/>
        <v>3200</v>
      </c>
      <c r="O8" s="123">
        <f t="shared" si="1"/>
        <v>3200</v>
      </c>
      <c r="P8" s="123">
        <f t="shared" si="1"/>
        <v>3200</v>
      </c>
      <c r="Q8" s="123">
        <f t="shared" si="1"/>
        <v>3200</v>
      </c>
      <c r="R8" s="123">
        <f t="shared" si="1"/>
        <v>3200</v>
      </c>
      <c r="S8" s="123">
        <f t="shared" si="1"/>
        <v>3200</v>
      </c>
      <c r="T8" s="123">
        <f t="shared" si="1"/>
        <v>3200</v>
      </c>
      <c r="U8" s="123">
        <f t="shared" si="1"/>
        <v>3200</v>
      </c>
      <c r="V8" s="123">
        <f t="shared" si="1"/>
        <v>3200</v>
      </c>
      <c r="W8" s="123">
        <f t="shared" si="1"/>
        <v>3200</v>
      </c>
    </row>
    <row r="10" spans="2:25" x14ac:dyDescent="0.2">
      <c r="B10" s="129" t="s">
        <v>98</v>
      </c>
      <c r="C10" s="3" t="s">
        <v>152</v>
      </c>
      <c r="D10" s="83">
        <f>+'Field Ops'!F34</f>
        <v>0</v>
      </c>
      <c r="E10" s="123">
        <f>+'Field Ops'!G34</f>
        <v>0</v>
      </c>
      <c r="F10" s="123">
        <f>+'Field Ops'!H34</f>
        <v>0</v>
      </c>
      <c r="G10" s="123">
        <f>+'Field Ops'!I34</f>
        <v>0</v>
      </c>
      <c r="H10" s="123">
        <f>+'Field Ops'!J34</f>
        <v>12800</v>
      </c>
      <c r="I10" s="123">
        <f>+'Field Ops'!K34</f>
        <v>25600</v>
      </c>
      <c r="J10" s="123">
        <f>+'Field Ops'!L34</f>
        <v>38400</v>
      </c>
      <c r="K10" s="123">
        <f>+'Field Ops'!M34</f>
        <v>48000</v>
      </c>
      <c r="L10" s="123">
        <f>+'Field Ops'!N34</f>
        <v>54400</v>
      </c>
      <c r="M10" s="123">
        <f>+'Field Ops'!O34</f>
        <v>60800</v>
      </c>
      <c r="N10" s="123">
        <f>+'Field Ops'!P34</f>
        <v>60800</v>
      </c>
      <c r="O10" s="123">
        <f>+'Field Ops'!Q34</f>
        <v>60800</v>
      </c>
      <c r="P10" s="123">
        <f>+'Field Ops'!R34</f>
        <v>60800</v>
      </c>
      <c r="Q10" s="123">
        <f>+'Field Ops'!S34</f>
        <v>60800</v>
      </c>
      <c r="R10" s="123">
        <f>+'Field Ops'!T34</f>
        <v>60800</v>
      </c>
      <c r="S10" s="123">
        <f>+'Field Ops'!U34</f>
        <v>60800</v>
      </c>
      <c r="T10" s="123">
        <f>+'Field Ops'!V34</f>
        <v>60800</v>
      </c>
      <c r="U10" s="123">
        <f>+'Field Ops'!W34</f>
        <v>60800</v>
      </c>
      <c r="V10" s="123">
        <f>+'Field Ops'!X34</f>
        <v>60800</v>
      </c>
      <c r="W10" s="123">
        <f>+'Field Ops'!Y34</f>
        <v>60800</v>
      </c>
      <c r="Y10" s="123">
        <f>SUM(D10:W10)</f>
        <v>848000</v>
      </c>
    </row>
    <row r="11" spans="2:25" x14ac:dyDescent="0.2">
      <c r="C11" s="3" t="s">
        <v>466</v>
      </c>
    </row>
    <row r="12" spans="2:25" x14ac:dyDescent="0.2">
      <c r="B12" s="2" t="s">
        <v>403</v>
      </c>
      <c r="C12" s="80">
        <f>+'Assumptions &amp; Costs'!G123</f>
        <v>107</v>
      </c>
      <c r="D12" s="83">
        <f>+D10*$C12*D5</f>
        <v>0</v>
      </c>
      <c r="E12" s="123">
        <f t="shared" ref="E12:W12" si="2">+E10*$C12*E5</f>
        <v>0</v>
      </c>
      <c r="F12" s="123">
        <f t="shared" si="2"/>
        <v>0</v>
      </c>
      <c r="G12" s="123">
        <f t="shared" si="2"/>
        <v>0</v>
      </c>
      <c r="H12" s="123">
        <f t="shared" si="2"/>
        <v>1369600</v>
      </c>
      <c r="I12" s="123">
        <f t="shared" si="2"/>
        <v>2739200</v>
      </c>
      <c r="J12" s="123">
        <f t="shared" si="2"/>
        <v>4108800</v>
      </c>
      <c r="K12" s="123">
        <f t="shared" si="2"/>
        <v>5136000</v>
      </c>
      <c r="L12" s="123">
        <f t="shared" si="2"/>
        <v>5820800</v>
      </c>
      <c r="M12" s="123">
        <f t="shared" si="2"/>
        <v>6505600</v>
      </c>
      <c r="N12" s="123">
        <f t="shared" si="2"/>
        <v>6505600</v>
      </c>
      <c r="O12" s="123">
        <f t="shared" si="2"/>
        <v>6505600</v>
      </c>
      <c r="P12" s="123">
        <f t="shared" si="2"/>
        <v>6505600</v>
      </c>
      <c r="Q12" s="123">
        <f t="shared" si="2"/>
        <v>6505600</v>
      </c>
      <c r="R12" s="123">
        <f t="shared" si="2"/>
        <v>6505600</v>
      </c>
      <c r="S12" s="123">
        <f t="shared" si="2"/>
        <v>6505600</v>
      </c>
      <c r="T12" s="123">
        <f t="shared" si="2"/>
        <v>6505600</v>
      </c>
      <c r="U12" s="123">
        <f t="shared" si="2"/>
        <v>6505600</v>
      </c>
      <c r="V12" s="123">
        <f t="shared" si="2"/>
        <v>6505600</v>
      </c>
      <c r="W12" s="123">
        <f t="shared" si="2"/>
        <v>6505600</v>
      </c>
      <c r="Y12" s="123">
        <f>SUM(D12:W12)</f>
        <v>90736000</v>
      </c>
    </row>
    <row r="14" spans="2:25" x14ac:dyDescent="0.2">
      <c r="B14" s="2" t="s">
        <v>469</v>
      </c>
      <c r="D14" s="83">
        <f>+D12</f>
        <v>0</v>
      </c>
      <c r="E14" s="123">
        <f t="shared" ref="E14:W14" si="3">+E12</f>
        <v>0</v>
      </c>
      <c r="F14" s="123">
        <f t="shared" si="3"/>
        <v>0</v>
      </c>
      <c r="G14" s="123">
        <f t="shared" si="3"/>
        <v>0</v>
      </c>
      <c r="H14" s="123">
        <f t="shared" si="3"/>
        <v>1369600</v>
      </c>
      <c r="I14" s="123">
        <f t="shared" si="3"/>
        <v>2739200</v>
      </c>
      <c r="J14" s="123">
        <f t="shared" si="3"/>
        <v>4108800</v>
      </c>
      <c r="K14" s="123">
        <f t="shared" si="3"/>
        <v>5136000</v>
      </c>
      <c r="L14" s="123">
        <f t="shared" si="3"/>
        <v>5820800</v>
      </c>
      <c r="M14" s="123">
        <f t="shared" si="3"/>
        <v>6505600</v>
      </c>
      <c r="N14" s="123">
        <f t="shared" si="3"/>
        <v>6505600</v>
      </c>
      <c r="O14" s="123">
        <f t="shared" si="3"/>
        <v>6505600</v>
      </c>
      <c r="P14" s="123">
        <f t="shared" si="3"/>
        <v>6505600</v>
      </c>
      <c r="Q14" s="123">
        <f t="shared" si="3"/>
        <v>6505600</v>
      </c>
      <c r="R14" s="123">
        <f t="shared" si="3"/>
        <v>6505600</v>
      </c>
      <c r="S14" s="123">
        <f t="shared" si="3"/>
        <v>6505600</v>
      </c>
      <c r="T14" s="123">
        <f t="shared" si="3"/>
        <v>6505600</v>
      </c>
      <c r="U14" s="123">
        <f t="shared" si="3"/>
        <v>6505600</v>
      </c>
      <c r="V14" s="123">
        <f t="shared" si="3"/>
        <v>6505600</v>
      </c>
      <c r="W14" s="123">
        <f t="shared" si="3"/>
        <v>6505600</v>
      </c>
      <c r="Y14" s="123">
        <f>SUM(D14:W14)</f>
        <v>90736000</v>
      </c>
    </row>
    <row r="15" spans="2:25" x14ac:dyDescent="0.2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2:25" x14ac:dyDescent="0.2">
      <c r="B16" s="2" t="s">
        <v>470</v>
      </c>
    </row>
    <row r="17" spans="2:25" x14ac:dyDescent="0.2">
      <c r="B17" s="2" t="s">
        <v>368</v>
      </c>
      <c r="D17" s="83">
        <f>+'Field Ops'!F211*D$5</f>
        <v>0</v>
      </c>
      <c r="E17" s="83">
        <f>+'Field Ops'!G211*E$5</f>
        <v>10318684.405362781</v>
      </c>
      <c r="F17" s="83">
        <f>+'Field Ops'!H211*F$5</f>
        <v>2762874.4105132157</v>
      </c>
      <c r="G17" s="83">
        <f>+'Field Ops'!I211*G$5</f>
        <v>2037964.2335230764</v>
      </c>
      <c r="H17" s="83">
        <f>+'Field Ops'!J211*H$5</f>
        <v>1536682.1758307689</v>
      </c>
      <c r="I17" s="83">
        <f>+'Field Ops'!K211*I$5</f>
        <v>0</v>
      </c>
      <c r="J17" s="83">
        <f>+'Field Ops'!L211*J$5</f>
        <v>0</v>
      </c>
      <c r="K17" s="83">
        <f>+'Field Ops'!M211*K$5</f>
        <v>0</v>
      </c>
      <c r="L17" s="83">
        <f>+'Field Ops'!N211*L$5</f>
        <v>0</v>
      </c>
      <c r="M17" s="83">
        <f>+'Field Ops'!O211*M$5</f>
        <v>0</v>
      </c>
      <c r="N17" s="83">
        <f>+'Field Ops'!P211*N$5</f>
        <v>0</v>
      </c>
      <c r="O17" s="83">
        <f>+'Field Ops'!Q211*O$5</f>
        <v>0</v>
      </c>
      <c r="P17" s="83">
        <f>+'Field Ops'!R211*P$5</f>
        <v>0</v>
      </c>
      <c r="Q17" s="83">
        <f>+'Field Ops'!S211*Q$5</f>
        <v>0</v>
      </c>
      <c r="R17" s="83">
        <f>+'Field Ops'!T211*R$5</f>
        <v>0</v>
      </c>
      <c r="S17" s="83">
        <f>+'Field Ops'!U211*S$5</f>
        <v>0</v>
      </c>
      <c r="T17" s="83">
        <f>+'Field Ops'!V211*T$5</f>
        <v>0</v>
      </c>
      <c r="U17" s="83">
        <f>+'Field Ops'!W211*U$5</f>
        <v>0</v>
      </c>
      <c r="V17" s="83">
        <f>+'Field Ops'!X211*V$5</f>
        <v>0</v>
      </c>
      <c r="W17" s="83">
        <f>+'Field Ops'!Y211*W$5</f>
        <v>0</v>
      </c>
      <c r="Y17" s="123">
        <f>SUM(D17:W17)</f>
        <v>16656205.225229841</v>
      </c>
    </row>
    <row r="18" spans="2:25" x14ac:dyDescent="0.2">
      <c r="B18" s="2" t="s">
        <v>365</v>
      </c>
      <c r="D18" s="83">
        <f>+'Field Ops'!F212*D$5</f>
        <v>0</v>
      </c>
      <c r="E18" s="83">
        <f>+'Field Ops'!G212*E$5</f>
        <v>0</v>
      </c>
      <c r="F18" s="83">
        <f>+'Field Ops'!H212*F$5</f>
        <v>0</v>
      </c>
      <c r="G18" s="83">
        <f>+'Field Ops'!I212*G$5</f>
        <v>0</v>
      </c>
      <c r="H18" s="83">
        <f>+'Field Ops'!J212*H$5</f>
        <v>0</v>
      </c>
      <c r="I18" s="83">
        <f>+'Field Ops'!K212*I$5</f>
        <v>1947638.9750615379</v>
      </c>
      <c r="J18" s="83">
        <f>+'Field Ops'!L212*J$5</f>
        <v>1947638.9750615379</v>
      </c>
      <c r="K18" s="83">
        <f>+'Field Ops'!M212*K$5</f>
        <v>1947638.9750615379</v>
      </c>
      <c r="L18" s="83">
        <f>+'Field Ops'!N212*L$5</f>
        <v>1947638.9750615379</v>
      </c>
      <c r="M18" s="83">
        <f>+'Field Ops'!O212*M$5</f>
        <v>1947638.9750615379</v>
      </c>
      <c r="N18" s="83">
        <f>+'Field Ops'!P212*N$5</f>
        <v>1947638.9750615379</v>
      </c>
      <c r="O18" s="83">
        <f>+'Field Ops'!Q212*O$5</f>
        <v>1947638.9750615379</v>
      </c>
      <c r="P18" s="83">
        <f>+'Field Ops'!R212*P$5</f>
        <v>1947638.9750615379</v>
      </c>
      <c r="Q18" s="83">
        <f>+'Field Ops'!S212*Q$5</f>
        <v>1947638.9750615379</v>
      </c>
      <c r="R18" s="83">
        <f>+'Field Ops'!T212*R$5</f>
        <v>1947638.9750615379</v>
      </c>
      <c r="S18" s="83">
        <f>+'Field Ops'!U212*S$5</f>
        <v>1947638.9750615379</v>
      </c>
      <c r="T18" s="83">
        <f>+'Field Ops'!V212*T$5</f>
        <v>1947638.9750615379</v>
      </c>
      <c r="U18" s="83">
        <f>+'Field Ops'!W212*U$5</f>
        <v>1947638.9750615379</v>
      </c>
      <c r="V18" s="83">
        <f>+'Field Ops'!X212*V$5</f>
        <v>1947638.9750615379</v>
      </c>
      <c r="W18" s="83">
        <f>+'Field Ops'!Y212*W$5</f>
        <v>1947638.9750615379</v>
      </c>
      <c r="Y18" s="123">
        <f>SUM(D18:W18)</f>
        <v>29214584.625923079</v>
      </c>
    </row>
    <row r="19" spans="2:25" x14ac:dyDescent="0.2">
      <c r="B19" s="2" t="s">
        <v>366</v>
      </c>
      <c r="D19" s="83">
        <f>+'Field Ops'!F213*D$5</f>
        <v>0</v>
      </c>
      <c r="E19" s="83">
        <f>+'Field Ops'!G213*E$5</f>
        <v>0</v>
      </c>
      <c r="F19" s="83">
        <f>+'Field Ops'!H213*F$5</f>
        <v>0</v>
      </c>
      <c r="G19" s="83">
        <f>+'Field Ops'!I213*G$5</f>
        <v>0</v>
      </c>
      <c r="H19" s="83">
        <f>+'Field Ops'!J213*H$5</f>
        <v>530794.66666666674</v>
      </c>
      <c r="I19" s="83">
        <f>+'Field Ops'!K213*I$5</f>
        <v>865408</v>
      </c>
      <c r="J19" s="83">
        <f>+'Field Ops'!L213*J$5</f>
        <v>1197792</v>
      </c>
      <c r="K19" s="83">
        <f>+'Field Ops'!M213*K$5</f>
        <v>1422000</v>
      </c>
      <c r="L19" s="83">
        <f>+'Field Ops'!N213*L$5</f>
        <v>1583176</v>
      </c>
      <c r="M19" s="83">
        <f>+'Field Ops'!O213*M$5</f>
        <v>1729722</v>
      </c>
      <c r="N19" s="83">
        <f>+'Field Ops'!P213*N$5</f>
        <v>1642360</v>
      </c>
      <c r="O19" s="83">
        <f>+'Field Ops'!Q213*O$5</f>
        <v>1637065.3333333335</v>
      </c>
      <c r="P19" s="83">
        <f>+'Field Ops'!R213*P$5</f>
        <v>1610592</v>
      </c>
      <c r="Q19" s="83">
        <f>+'Field Ops'!S213*Q$5</f>
        <v>1631770.6666666667</v>
      </c>
      <c r="R19" s="83">
        <f>+'Field Ops'!T213*R$5</f>
        <v>1670157</v>
      </c>
      <c r="S19" s="83">
        <f>+'Field Ops'!U213*S$5</f>
        <v>1685340.2352941176</v>
      </c>
      <c r="T19" s="83">
        <f>+'Field Ops'!V213*T$5</f>
        <v>1698836.4444444445</v>
      </c>
      <c r="U19" s="83">
        <f>+'Field Ops'!W213*U$5</f>
        <v>1744352</v>
      </c>
      <c r="V19" s="83">
        <f>+'Field Ops'!X213*V$5</f>
        <v>1737664</v>
      </c>
      <c r="W19" s="83">
        <f>+'Field Ops'!Y213*W$5</f>
        <v>1737664</v>
      </c>
      <c r="Y19" s="123">
        <f>SUM(D19:W19)</f>
        <v>24124694.34640523</v>
      </c>
    </row>
    <row r="20" spans="2:25" x14ac:dyDescent="0.2">
      <c r="B20" s="15" t="s">
        <v>405</v>
      </c>
      <c r="D20" s="83">
        <f>+D38</f>
        <v>0</v>
      </c>
      <c r="E20" s="83">
        <f>+E38-D38</f>
        <v>0</v>
      </c>
      <c r="F20" s="83">
        <f t="shared" ref="F20:W21" si="4">+F38-E38</f>
        <v>0</v>
      </c>
      <c r="G20" s="83">
        <f t="shared" si="4"/>
        <v>0</v>
      </c>
      <c r="H20" s="83">
        <f t="shared" si="4"/>
        <v>0</v>
      </c>
      <c r="I20" s="83">
        <f t="shared" si="4"/>
        <v>0</v>
      </c>
      <c r="J20" s="83">
        <f t="shared" si="4"/>
        <v>0</v>
      </c>
      <c r="K20" s="83">
        <f t="shared" si="4"/>
        <v>0</v>
      </c>
      <c r="L20" s="83">
        <f t="shared" si="4"/>
        <v>0</v>
      </c>
      <c r="M20" s="83">
        <f t="shared" si="4"/>
        <v>0</v>
      </c>
      <c r="N20" s="83">
        <f t="shared" si="4"/>
        <v>0</v>
      </c>
      <c r="O20" s="83">
        <f t="shared" si="4"/>
        <v>0</v>
      </c>
      <c r="P20" s="83">
        <f t="shared" si="4"/>
        <v>0</v>
      </c>
      <c r="Q20" s="83">
        <f t="shared" si="4"/>
        <v>0</v>
      </c>
      <c r="R20" s="83">
        <f t="shared" si="4"/>
        <v>0</v>
      </c>
      <c r="S20" s="83">
        <f t="shared" si="4"/>
        <v>0</v>
      </c>
      <c r="T20" s="83">
        <f t="shared" si="4"/>
        <v>0</v>
      </c>
      <c r="U20" s="83">
        <f t="shared" si="4"/>
        <v>0</v>
      </c>
      <c r="V20" s="83">
        <f t="shared" si="4"/>
        <v>0</v>
      </c>
      <c r="W20" s="83">
        <f t="shared" si="4"/>
        <v>0</v>
      </c>
    </row>
    <row r="21" spans="2:25" x14ac:dyDescent="0.2">
      <c r="B21" s="15" t="s">
        <v>204</v>
      </c>
      <c r="D21" s="83">
        <f>+D39</f>
        <v>0</v>
      </c>
      <c r="E21" s="83">
        <f>+E39-D39</f>
        <v>0</v>
      </c>
      <c r="F21" s="83">
        <f t="shared" si="4"/>
        <v>0</v>
      </c>
      <c r="G21" s="83">
        <f t="shared" si="4"/>
        <v>0</v>
      </c>
      <c r="H21" s="83">
        <f t="shared" si="4"/>
        <v>0</v>
      </c>
      <c r="I21" s="83">
        <f t="shared" si="4"/>
        <v>0</v>
      </c>
      <c r="J21" s="83">
        <f t="shared" si="4"/>
        <v>0</v>
      </c>
      <c r="K21" s="83">
        <f t="shared" si="4"/>
        <v>0</v>
      </c>
      <c r="L21" s="83">
        <f t="shared" si="4"/>
        <v>0</v>
      </c>
      <c r="M21" s="83">
        <f t="shared" si="4"/>
        <v>0</v>
      </c>
      <c r="N21" s="83">
        <f t="shared" si="4"/>
        <v>0</v>
      </c>
      <c r="O21" s="83">
        <f t="shared" si="4"/>
        <v>0</v>
      </c>
      <c r="P21" s="83">
        <f t="shared" si="4"/>
        <v>0</v>
      </c>
      <c r="Q21" s="83">
        <f t="shared" si="4"/>
        <v>0</v>
      </c>
      <c r="R21" s="83">
        <f t="shared" si="4"/>
        <v>0</v>
      </c>
      <c r="S21" s="83">
        <f t="shared" si="4"/>
        <v>0</v>
      </c>
      <c r="T21" s="83">
        <f t="shared" si="4"/>
        <v>0</v>
      </c>
      <c r="U21" s="83">
        <f t="shared" si="4"/>
        <v>0</v>
      </c>
      <c r="V21" s="83">
        <f t="shared" si="4"/>
        <v>0</v>
      </c>
      <c r="W21" s="83">
        <f t="shared" si="4"/>
        <v>0</v>
      </c>
    </row>
    <row r="22" spans="2:25" x14ac:dyDescent="0.2">
      <c r="B22" s="15" t="s">
        <v>205</v>
      </c>
      <c r="C22" s="83"/>
      <c r="D22" s="83">
        <f>+(D40-D41)</f>
        <v>0</v>
      </c>
      <c r="E22" s="83">
        <f t="shared" ref="E22:W22" si="5">+(E40-E41)</f>
        <v>0</v>
      </c>
      <c r="F22" s="83">
        <f t="shared" ca="1" si="5"/>
        <v>0</v>
      </c>
      <c r="G22" s="83">
        <f t="shared" ca="1" si="5"/>
        <v>0</v>
      </c>
      <c r="H22" s="83">
        <f t="shared" ca="1" si="5"/>
        <v>0</v>
      </c>
      <c r="I22" s="83">
        <f t="shared" ca="1" si="5"/>
        <v>0</v>
      </c>
      <c r="J22" s="83">
        <f t="shared" ca="1" si="5"/>
        <v>0</v>
      </c>
      <c r="K22" s="83">
        <f t="shared" ca="1" si="5"/>
        <v>0</v>
      </c>
      <c r="L22" s="83">
        <f t="shared" ca="1" si="5"/>
        <v>0</v>
      </c>
      <c r="M22" s="83">
        <f t="shared" ca="1" si="5"/>
        <v>0</v>
      </c>
      <c r="N22" s="83">
        <f t="shared" ca="1" si="5"/>
        <v>0</v>
      </c>
      <c r="O22" s="83">
        <f t="shared" ca="1" si="5"/>
        <v>0</v>
      </c>
      <c r="P22" s="83">
        <f t="shared" ca="1" si="5"/>
        <v>0</v>
      </c>
      <c r="Q22" s="83">
        <f t="shared" ca="1" si="5"/>
        <v>0</v>
      </c>
      <c r="R22" s="83">
        <f t="shared" ca="1" si="5"/>
        <v>0</v>
      </c>
      <c r="S22" s="83">
        <f t="shared" ca="1" si="5"/>
        <v>0</v>
      </c>
      <c r="T22" s="83">
        <f t="shared" ca="1" si="5"/>
        <v>0</v>
      </c>
      <c r="U22" s="83">
        <f t="shared" ca="1" si="5"/>
        <v>0</v>
      </c>
      <c r="V22" s="83">
        <f t="shared" ca="1" si="5"/>
        <v>0</v>
      </c>
      <c r="W22" s="83">
        <f t="shared" ca="1" si="5"/>
        <v>0</v>
      </c>
      <c r="Y22" s="123">
        <f ca="1">SUM(D22:W22)</f>
        <v>0</v>
      </c>
    </row>
    <row r="23" spans="2:25" x14ac:dyDescent="0.2">
      <c r="B23" s="2" t="s">
        <v>493</v>
      </c>
      <c r="C23" s="43">
        <f>+'Assumptions &amp; Costs'!C127</f>
        <v>0.1</v>
      </c>
      <c r="D23" s="83">
        <v>0</v>
      </c>
      <c r="E23" s="123">
        <f>SUM(E$17:E$19)*$C23</f>
        <v>1031868.4405362782</v>
      </c>
      <c r="F23" s="123">
        <f ca="1">IF(Finance!E20=0,0,SUM(F$17:F$19)*$C23)</f>
        <v>276287.44105132157</v>
      </c>
      <c r="G23" s="123">
        <f ca="1">IF(Finance!F20=0,0,SUM(G$17:G$19)*$C23)</f>
        <v>203796.42335230764</v>
      </c>
      <c r="H23" s="123">
        <f ca="1">IF(Finance!G20=0,0,SUM(H$17:H$19)*$C23)</f>
        <v>206747.68424974359</v>
      </c>
      <c r="I23" s="123">
        <f ca="1">IF(Finance!H20=0,0,SUM(I$17:I$19)*$C23)</f>
        <v>281304.69750615378</v>
      </c>
      <c r="J23" s="123">
        <f ca="1">IF(Finance!I20=0,0,SUM(J$17:J$19)*$C23)</f>
        <v>314543.0975061538</v>
      </c>
      <c r="K23" s="123">
        <f ca="1">IF(Finance!J20=0,0,SUM(K$17:K$19)*$C23)</f>
        <v>336963.89750615379</v>
      </c>
      <c r="L23" s="123">
        <f ca="1">IF(Finance!K20=0,0,SUM(L$17:L$19)*$C23)</f>
        <v>353081.49750615377</v>
      </c>
      <c r="M23" s="123">
        <f ca="1">IF(Finance!L20=0,0,SUM(M$17:M$19)*$C23)</f>
        <v>367736.0975061538</v>
      </c>
      <c r="N23" s="123">
        <f ca="1">IF(Finance!M20=0,0,SUM(N$17:N$19)*$C23)</f>
        <v>358999.89750615379</v>
      </c>
      <c r="O23" s="123">
        <f ca="1">IF(Finance!N20=0,0,SUM(O$17:O$19)*$C23)</f>
        <v>358470.43083948718</v>
      </c>
      <c r="P23" s="123">
        <f ca="1">IF(Finance!O20=0,0,SUM(P$17:P$19)*$C23)</f>
        <v>355823.0975061538</v>
      </c>
      <c r="Q23" s="123">
        <f ca="1">IF(Finance!P20=0,0,SUM(Q$17:Q$19)*$C23)</f>
        <v>357940.9641728205</v>
      </c>
      <c r="R23" s="123">
        <f ca="1">IF(Finance!Q20=0,0,SUM(R$17:R$19)*$C23)</f>
        <v>361779.5975061538</v>
      </c>
      <c r="S23" s="123">
        <f ca="1">IF(Finance!R20=0,0,SUM(S$17:S$19)*$C23)</f>
        <v>363297.92103556555</v>
      </c>
      <c r="T23" s="123">
        <f ca="1">IF(Finance!S20=0,0,SUM(T$17:T$19)*$C23)</f>
        <v>364647.5419505983</v>
      </c>
      <c r="U23" s="123">
        <f ca="1">IF(Finance!T20=0,0,SUM(U$17:U$19)*$C23)</f>
        <v>369199.0975061538</v>
      </c>
      <c r="V23" s="123">
        <f ca="1">IF(Finance!U20=0,0,SUM(V$17:V$19)*$C23)</f>
        <v>368530.29750615382</v>
      </c>
      <c r="W23" s="123">
        <f ca="1">IF(Finance!V20=0,0,SUM(W$17:W$19)*$C23)</f>
        <v>368530.29750615382</v>
      </c>
      <c r="Y23" s="123">
        <f t="shared" ref="Y23:Y24" ca="1" si="6">SUM(D23:W23)</f>
        <v>6999548.4197558127</v>
      </c>
    </row>
    <row r="24" spans="2:25" x14ac:dyDescent="0.2">
      <c r="B24" s="2" t="s">
        <v>492</v>
      </c>
      <c r="C24" s="43">
        <f>+'Assumptions &amp; Costs'!C126</f>
        <v>0</v>
      </c>
      <c r="D24" s="83">
        <v>0</v>
      </c>
      <c r="E24" s="123">
        <f t="shared" ref="E24" si="7">SUM(E$17:E$19)*$C24</f>
        <v>0</v>
      </c>
      <c r="F24" s="123">
        <f ca="1">IF(Finance!E20=0,0,SUM(F$17:F$19)*$C24)</f>
        <v>0</v>
      </c>
      <c r="G24" s="123">
        <f ca="1">IF(Finance!F20=0,0,SUM(G$17:G$19)*$C24)</f>
        <v>0</v>
      </c>
      <c r="H24" s="123">
        <f ca="1">IF(Finance!G20=0,0,SUM(H$17:H$19)*$C24)</f>
        <v>0</v>
      </c>
      <c r="I24" s="123">
        <f ca="1">IF(Finance!H20=0,0,SUM(I$17:I$19)*$C24)</f>
        <v>0</v>
      </c>
      <c r="J24" s="123">
        <f ca="1">IF(Finance!I20=0,0,SUM(J$17:J$19)*$C24)</f>
        <v>0</v>
      </c>
      <c r="K24" s="123">
        <f ca="1">IF(Finance!J20=0,0,SUM(K$17:K$19)*$C24)</f>
        <v>0</v>
      </c>
      <c r="L24" s="123">
        <f ca="1">IF(Finance!K20=0,0,SUM(L$17:L$19)*$C24)</f>
        <v>0</v>
      </c>
      <c r="M24" s="123">
        <f ca="1">IF(Finance!L20=0,0,SUM(M$17:M$19)*$C24)</f>
        <v>0</v>
      </c>
      <c r="N24" s="123">
        <f ca="1">IF(Finance!M20=0,0,SUM(N$17:N$19)*$C24)</f>
        <v>0</v>
      </c>
      <c r="O24" s="123">
        <f ca="1">IF(Finance!N20=0,0,SUM(O$17:O$19)*$C24)</f>
        <v>0</v>
      </c>
      <c r="P24" s="123">
        <f ca="1">IF(Finance!O20=0,0,SUM(P$17:P$19)*$C24)</f>
        <v>0</v>
      </c>
      <c r="Q24" s="123">
        <f ca="1">IF(Finance!P20=0,0,SUM(Q$17:Q$19)*$C24)</f>
        <v>0</v>
      </c>
      <c r="R24" s="123">
        <f ca="1">IF(Finance!Q20=0,0,SUM(R$17:R$19)*$C24)</f>
        <v>0</v>
      </c>
      <c r="S24" s="123">
        <f ca="1">IF(Finance!R20=0,0,SUM(S$17:S$19)*$C24)</f>
        <v>0</v>
      </c>
      <c r="T24" s="123">
        <f ca="1">IF(Finance!S20=0,0,SUM(T$17:T$19)*$C24)</f>
        <v>0</v>
      </c>
      <c r="U24" s="123">
        <f ca="1">IF(Finance!T20=0,0,SUM(U$17:U$19)*$C24)</f>
        <v>0</v>
      </c>
      <c r="V24" s="123">
        <f ca="1">IF(Finance!U20=0,0,SUM(V$17:V$19)*$C24)</f>
        <v>0</v>
      </c>
      <c r="W24" s="123">
        <f ca="1">IF(Finance!V20=0,0,SUM(W$17:W$19)*$C24)</f>
        <v>0</v>
      </c>
      <c r="Y24" s="123">
        <f t="shared" ca="1" si="6"/>
        <v>0</v>
      </c>
    </row>
    <row r="25" spans="2:25" x14ac:dyDescent="0.2">
      <c r="C25" s="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2:25" x14ac:dyDescent="0.2">
      <c r="B26" s="2" t="s">
        <v>471</v>
      </c>
      <c r="C26" s="3"/>
      <c r="D26" s="83">
        <f t="shared" ref="D26:W26" si="8">SUM(D17:D24)</f>
        <v>0</v>
      </c>
      <c r="E26" s="83">
        <f t="shared" si="8"/>
        <v>11350552.845899059</v>
      </c>
      <c r="F26" s="83">
        <f t="shared" ca="1" si="8"/>
        <v>3039161.8515645373</v>
      </c>
      <c r="G26" s="83">
        <f t="shared" ca="1" si="8"/>
        <v>2241760.656875384</v>
      </c>
      <c r="H26" s="83">
        <f t="shared" ca="1" si="8"/>
        <v>2274224.5267471792</v>
      </c>
      <c r="I26" s="83">
        <f t="shared" ca="1" si="8"/>
        <v>3094351.6725676917</v>
      </c>
      <c r="J26" s="83">
        <f t="shared" ca="1" si="8"/>
        <v>3459974.0725676916</v>
      </c>
      <c r="K26" s="83">
        <f t="shared" ca="1" si="8"/>
        <v>3706602.8725676914</v>
      </c>
      <c r="L26" s="83">
        <f t="shared" ca="1" si="8"/>
        <v>3883896.4725676915</v>
      </c>
      <c r="M26" s="83">
        <f t="shared" ca="1" si="8"/>
        <v>4045097.0725676916</v>
      </c>
      <c r="N26" s="83">
        <f t="shared" ca="1" si="8"/>
        <v>3948998.8725676914</v>
      </c>
      <c r="O26" s="83">
        <f t="shared" ca="1" si="8"/>
        <v>3943174.739234359</v>
      </c>
      <c r="P26" s="83">
        <f t="shared" ca="1" si="8"/>
        <v>3914054.0725676916</v>
      </c>
      <c r="Q26" s="83">
        <f t="shared" ca="1" si="8"/>
        <v>3937350.6059010252</v>
      </c>
      <c r="R26" s="83">
        <f t="shared" ca="1" si="8"/>
        <v>3979575.5725676916</v>
      </c>
      <c r="S26" s="83">
        <f t="shared" ca="1" si="8"/>
        <v>3996277.1313912207</v>
      </c>
      <c r="T26" s="83">
        <f t="shared" ca="1" si="8"/>
        <v>4011122.961456581</v>
      </c>
      <c r="U26" s="83">
        <f t="shared" ca="1" si="8"/>
        <v>4061190.0725676916</v>
      </c>
      <c r="V26" s="83">
        <f t="shared" ca="1" si="8"/>
        <v>4053833.2725676913</v>
      </c>
      <c r="W26" s="83">
        <f t="shared" ca="1" si="8"/>
        <v>4053833.2725676913</v>
      </c>
      <c r="Y26" s="123">
        <f ca="1">SUM(D26:W26)</f>
        <v>76995032.617313951</v>
      </c>
    </row>
    <row r="27" spans="2:25" x14ac:dyDescent="0.2">
      <c r="C27" s="3"/>
    </row>
    <row r="28" spans="2:25" x14ac:dyDescent="0.2">
      <c r="B28" s="2" t="s">
        <v>472</v>
      </c>
      <c r="C28" s="3"/>
      <c r="D28" s="83">
        <f t="shared" ref="D28:W28" si="9">+D14-D26</f>
        <v>0</v>
      </c>
      <c r="E28" s="83">
        <f t="shared" si="9"/>
        <v>-11350552.845899059</v>
      </c>
      <c r="F28" s="83">
        <f t="shared" ca="1" si="9"/>
        <v>-3039161.8515645373</v>
      </c>
      <c r="G28" s="83">
        <f t="shared" ca="1" si="9"/>
        <v>-2241760.656875384</v>
      </c>
      <c r="H28" s="83">
        <f t="shared" ca="1" si="9"/>
        <v>-904624.52674717922</v>
      </c>
      <c r="I28" s="83">
        <f t="shared" ca="1" si="9"/>
        <v>-355151.67256769165</v>
      </c>
      <c r="J28" s="83">
        <f t="shared" ca="1" si="9"/>
        <v>648825.92743230844</v>
      </c>
      <c r="K28" s="83">
        <f t="shared" ca="1" si="9"/>
        <v>1429397.1274323086</v>
      </c>
      <c r="L28" s="83">
        <f t="shared" ca="1" si="9"/>
        <v>1936903.5274323085</v>
      </c>
      <c r="M28" s="83">
        <f t="shared" ca="1" si="9"/>
        <v>2460502.9274323084</v>
      </c>
      <c r="N28" s="83">
        <f t="shared" ca="1" si="9"/>
        <v>2556601.1274323086</v>
      </c>
      <c r="O28" s="83">
        <f t="shared" ca="1" si="9"/>
        <v>2562425.260765641</v>
      </c>
      <c r="P28" s="83">
        <f t="shared" ca="1" si="9"/>
        <v>2591545.9274323084</v>
      </c>
      <c r="Q28" s="83">
        <f t="shared" ca="1" si="9"/>
        <v>2568249.3940989748</v>
      </c>
      <c r="R28" s="83">
        <f t="shared" ca="1" si="9"/>
        <v>2526024.4274323084</v>
      </c>
      <c r="S28" s="83">
        <f t="shared" ca="1" si="9"/>
        <v>2509322.8686087793</v>
      </c>
      <c r="T28" s="83">
        <f t="shared" ca="1" si="9"/>
        <v>2494477.038543419</v>
      </c>
      <c r="U28" s="83">
        <f t="shared" ca="1" si="9"/>
        <v>2444409.9274323084</v>
      </c>
      <c r="V28" s="83">
        <f t="shared" ca="1" si="9"/>
        <v>2451766.7274323087</v>
      </c>
      <c r="W28" s="83">
        <f t="shared" ca="1" si="9"/>
        <v>2451766.7274323087</v>
      </c>
      <c r="Y28" s="123">
        <f ca="1">SUM(D28:W28)</f>
        <v>13740967.382686049</v>
      </c>
    </row>
    <row r="29" spans="2:25" x14ac:dyDescent="0.2">
      <c r="C29" s="3"/>
      <c r="D29" s="83">
        <f>+D28</f>
        <v>0</v>
      </c>
      <c r="E29" s="83">
        <f t="shared" ref="E29:W29" si="10">+E28+D29</f>
        <v>-11350552.845899059</v>
      </c>
      <c r="F29" s="83">
        <f t="shared" ca="1" si="10"/>
        <v>-14389714.697463596</v>
      </c>
      <c r="G29" s="83">
        <f t="shared" ca="1" si="10"/>
        <v>-16631475.354338981</v>
      </c>
      <c r="H29" s="83">
        <f t="shared" ca="1" si="10"/>
        <v>-17536099.881086159</v>
      </c>
      <c r="I29" s="83">
        <f t="shared" ca="1" si="10"/>
        <v>-17891251.553653851</v>
      </c>
      <c r="J29" s="83">
        <f t="shared" ca="1" si="10"/>
        <v>-17242425.626221541</v>
      </c>
      <c r="K29" s="83">
        <f t="shared" ca="1" si="10"/>
        <v>-15813028.498789232</v>
      </c>
      <c r="L29" s="83">
        <f t="shared" ca="1" si="10"/>
        <v>-13876124.971356925</v>
      </c>
      <c r="M29" s="83">
        <f t="shared" ca="1" si="10"/>
        <v>-11415622.043924617</v>
      </c>
      <c r="N29" s="83">
        <f t="shared" ca="1" si="10"/>
        <v>-8859020.9164923076</v>
      </c>
      <c r="O29" s="83">
        <f t="shared" ca="1" si="10"/>
        <v>-6296595.6557266666</v>
      </c>
      <c r="P29" s="83">
        <f t="shared" ca="1" si="10"/>
        <v>-3705049.7282943581</v>
      </c>
      <c r="Q29" s="83">
        <f t="shared" ca="1" si="10"/>
        <v>-1136800.3341953834</v>
      </c>
      <c r="R29" s="83">
        <f t="shared" ca="1" si="10"/>
        <v>1389224.0932369251</v>
      </c>
      <c r="S29" s="83">
        <f t="shared" ca="1" si="10"/>
        <v>3898546.9618457044</v>
      </c>
      <c r="T29" s="83">
        <f t="shared" ca="1" si="10"/>
        <v>6393024.0003891233</v>
      </c>
      <c r="U29" s="83">
        <f t="shared" ca="1" si="10"/>
        <v>8837433.9278214313</v>
      </c>
      <c r="V29" s="83">
        <f t="shared" ca="1" si="10"/>
        <v>11289200.65525374</v>
      </c>
      <c r="W29" s="83">
        <f t="shared" ca="1" si="10"/>
        <v>13740967.382686049</v>
      </c>
    </row>
    <row r="30" spans="2:25" x14ac:dyDescent="0.2">
      <c r="C30" s="3"/>
    </row>
    <row r="31" spans="2:25" x14ac:dyDescent="0.2">
      <c r="C31" s="3"/>
    </row>
    <row r="32" spans="2:25" x14ac:dyDescent="0.2">
      <c r="C32" s="76"/>
    </row>
    <row r="33" spans="2:23" x14ac:dyDescent="0.2">
      <c r="B33" s="2" t="s">
        <v>376</v>
      </c>
      <c r="C33" s="3">
        <f ca="1">SUM(D33:W33)</f>
        <v>13</v>
      </c>
      <c r="D33" s="2">
        <f t="shared" ref="D33:W33" si="11">IF(D29&lt;0,1,0)</f>
        <v>0</v>
      </c>
      <c r="E33" s="2">
        <f t="shared" si="11"/>
        <v>1</v>
      </c>
      <c r="F33" s="2">
        <f t="shared" ca="1" si="11"/>
        <v>1</v>
      </c>
      <c r="G33" s="2">
        <f t="shared" ca="1" si="11"/>
        <v>1</v>
      </c>
      <c r="H33" s="2">
        <f t="shared" ca="1" si="11"/>
        <v>1</v>
      </c>
      <c r="I33" s="2">
        <f t="shared" ca="1" si="11"/>
        <v>1</v>
      </c>
      <c r="J33" s="2">
        <f t="shared" ca="1" si="11"/>
        <v>1</v>
      </c>
      <c r="K33" s="2">
        <f t="shared" ca="1" si="11"/>
        <v>1</v>
      </c>
      <c r="L33" s="2">
        <f t="shared" ca="1" si="11"/>
        <v>1</v>
      </c>
      <c r="M33" s="2">
        <f t="shared" ca="1" si="11"/>
        <v>1</v>
      </c>
      <c r="N33" s="2">
        <f t="shared" ca="1" si="11"/>
        <v>1</v>
      </c>
      <c r="O33" s="2">
        <f t="shared" ca="1" si="11"/>
        <v>1</v>
      </c>
      <c r="P33" s="2">
        <f t="shared" ca="1" si="11"/>
        <v>1</v>
      </c>
      <c r="Q33" s="2">
        <f t="shared" ca="1" si="11"/>
        <v>1</v>
      </c>
      <c r="R33" s="2">
        <f t="shared" ca="1" si="11"/>
        <v>0</v>
      </c>
      <c r="S33" s="2">
        <f t="shared" ca="1" si="11"/>
        <v>0</v>
      </c>
      <c r="T33" s="2">
        <f t="shared" ca="1" si="11"/>
        <v>0</v>
      </c>
      <c r="U33" s="2">
        <f t="shared" ca="1" si="11"/>
        <v>0</v>
      </c>
      <c r="V33" s="2">
        <f t="shared" ca="1" si="11"/>
        <v>0</v>
      </c>
      <c r="W33" s="2">
        <f t="shared" ca="1" si="11"/>
        <v>0</v>
      </c>
    </row>
    <row r="34" spans="2:23" x14ac:dyDescent="0.2">
      <c r="B34" s="2" t="s">
        <v>380</v>
      </c>
      <c r="C34" s="34">
        <f ca="1">SUM(D34:W34)</f>
        <v>6</v>
      </c>
      <c r="D34" s="83">
        <f t="shared" ref="D34:W34" ca="1" si="12">+IF(D29=MIN($D29:$W29),1,IF(E34=1,1,0))</f>
        <v>1</v>
      </c>
      <c r="E34" s="83">
        <f t="shared" ca="1" si="12"/>
        <v>1</v>
      </c>
      <c r="F34" s="83">
        <f t="shared" ca="1" si="12"/>
        <v>1</v>
      </c>
      <c r="G34" s="83">
        <f t="shared" ca="1" si="12"/>
        <v>1</v>
      </c>
      <c r="H34" s="83">
        <f t="shared" ca="1" si="12"/>
        <v>1</v>
      </c>
      <c r="I34" s="83">
        <f t="shared" ca="1" si="12"/>
        <v>1</v>
      </c>
      <c r="J34" s="83">
        <f t="shared" ca="1" si="12"/>
        <v>0</v>
      </c>
      <c r="K34" s="83">
        <f t="shared" ca="1" si="12"/>
        <v>0</v>
      </c>
      <c r="L34" s="83">
        <f t="shared" ca="1" si="12"/>
        <v>0</v>
      </c>
      <c r="M34" s="83">
        <f t="shared" ca="1" si="12"/>
        <v>0</v>
      </c>
      <c r="N34" s="83">
        <f t="shared" ca="1" si="12"/>
        <v>0</v>
      </c>
      <c r="O34" s="83">
        <f t="shared" ca="1" si="12"/>
        <v>0</v>
      </c>
      <c r="P34" s="83">
        <f t="shared" ca="1" si="12"/>
        <v>0</v>
      </c>
      <c r="Q34" s="83">
        <f t="shared" ca="1" si="12"/>
        <v>0</v>
      </c>
      <c r="R34" s="83">
        <f t="shared" ca="1" si="12"/>
        <v>0</v>
      </c>
      <c r="S34" s="83">
        <f t="shared" ca="1" si="12"/>
        <v>0</v>
      </c>
      <c r="T34" s="83">
        <f t="shared" ca="1" si="12"/>
        <v>0</v>
      </c>
      <c r="U34" s="83">
        <f t="shared" ca="1" si="12"/>
        <v>0</v>
      </c>
      <c r="V34" s="83">
        <f t="shared" ca="1" si="12"/>
        <v>0</v>
      </c>
      <c r="W34" s="83">
        <f t="shared" ca="1" si="12"/>
        <v>0</v>
      </c>
    </row>
    <row r="35" spans="2:23" x14ac:dyDescent="0.2">
      <c r="C35" s="3"/>
    </row>
    <row r="37" spans="2:23" x14ac:dyDescent="0.2">
      <c r="B37" s="37" t="s">
        <v>136</v>
      </c>
      <c r="C37" s="72" t="s">
        <v>137</v>
      </c>
      <c r="D37" s="30"/>
    </row>
    <row r="38" spans="2:23" x14ac:dyDescent="0.2">
      <c r="B38" s="15" t="s">
        <v>405</v>
      </c>
      <c r="C38" s="71">
        <v>0</v>
      </c>
      <c r="D38" s="83">
        <f t="shared" ref="D38:W38" si="13">+($C38/365)*D14</f>
        <v>0</v>
      </c>
      <c r="E38" s="83">
        <f t="shared" si="13"/>
        <v>0</v>
      </c>
      <c r="F38" s="83">
        <f t="shared" si="13"/>
        <v>0</v>
      </c>
      <c r="G38" s="83">
        <f t="shared" si="13"/>
        <v>0</v>
      </c>
      <c r="H38" s="83">
        <f t="shared" si="13"/>
        <v>0</v>
      </c>
      <c r="I38" s="83">
        <f t="shared" si="13"/>
        <v>0</v>
      </c>
      <c r="J38" s="83">
        <f t="shared" si="13"/>
        <v>0</v>
      </c>
      <c r="K38" s="83">
        <f t="shared" si="13"/>
        <v>0</v>
      </c>
      <c r="L38" s="83">
        <f t="shared" si="13"/>
        <v>0</v>
      </c>
      <c r="M38" s="83">
        <f t="shared" si="13"/>
        <v>0</v>
      </c>
      <c r="N38" s="83">
        <f t="shared" si="13"/>
        <v>0</v>
      </c>
      <c r="O38" s="83">
        <f t="shared" si="13"/>
        <v>0</v>
      </c>
      <c r="P38" s="83">
        <f t="shared" si="13"/>
        <v>0</v>
      </c>
      <c r="Q38" s="83">
        <f t="shared" si="13"/>
        <v>0</v>
      </c>
      <c r="R38" s="83">
        <f t="shared" si="13"/>
        <v>0</v>
      </c>
      <c r="S38" s="83">
        <f t="shared" si="13"/>
        <v>0</v>
      </c>
      <c r="T38" s="83">
        <f t="shared" si="13"/>
        <v>0</v>
      </c>
      <c r="U38" s="83">
        <f t="shared" si="13"/>
        <v>0</v>
      </c>
      <c r="V38" s="83">
        <f t="shared" si="13"/>
        <v>0</v>
      </c>
      <c r="W38" s="83">
        <f t="shared" si="13"/>
        <v>0</v>
      </c>
    </row>
    <row r="39" spans="2:23" x14ac:dyDescent="0.2">
      <c r="B39" s="15" t="s">
        <v>204</v>
      </c>
      <c r="C39" s="71">
        <f>+'Inputs General'!E10</f>
        <v>0</v>
      </c>
      <c r="D39" s="83">
        <f>+($C39/365)*('Field Ops'!F206)*D5</f>
        <v>0</v>
      </c>
      <c r="E39" s="123">
        <f>+($C39/365)*('Field Ops'!G206)*E5</f>
        <v>0</v>
      </c>
      <c r="F39" s="123">
        <f>+($C39/365)*('Field Ops'!H206)*F5</f>
        <v>0</v>
      </c>
      <c r="G39" s="123">
        <f>+($C39/365)*('Field Ops'!I206)*G5</f>
        <v>0</v>
      </c>
      <c r="H39" s="123">
        <f>+($C39/365)*('Field Ops'!J206)*H5</f>
        <v>0</v>
      </c>
      <c r="I39" s="123">
        <f>+($C39/365)*('Field Ops'!K206)*I5</f>
        <v>0</v>
      </c>
      <c r="J39" s="123">
        <f>+($C39/365)*('Field Ops'!L206)*J5</f>
        <v>0</v>
      </c>
      <c r="K39" s="123">
        <f>+($C39/365)*('Field Ops'!M206)*K5</f>
        <v>0</v>
      </c>
      <c r="L39" s="123">
        <f>+($C39/365)*('Field Ops'!N206)*L5</f>
        <v>0</v>
      </c>
      <c r="M39" s="123">
        <f>+($C39/365)*('Field Ops'!O206)*M5</f>
        <v>0</v>
      </c>
      <c r="N39" s="123">
        <f>+($C39/365)*('Field Ops'!P206)*N5</f>
        <v>0</v>
      </c>
      <c r="O39" s="123">
        <f>+($C39/365)*('Field Ops'!Q206)*O5</f>
        <v>0</v>
      </c>
      <c r="P39" s="123">
        <f>+($C39/365)*('Field Ops'!R206)*P5</f>
        <v>0</v>
      </c>
      <c r="Q39" s="123">
        <f>+($C39/365)*('Field Ops'!S206)*Q5</f>
        <v>0</v>
      </c>
      <c r="R39" s="123">
        <f>+($C39/365)*('Field Ops'!T206)*R5</f>
        <v>0</v>
      </c>
      <c r="S39" s="123">
        <f>+($C39/365)*('Field Ops'!U206)*S5</f>
        <v>0</v>
      </c>
      <c r="T39" s="123">
        <f>+($C39/365)*('Field Ops'!V206)*T5</f>
        <v>0</v>
      </c>
      <c r="U39" s="123">
        <f>+($C39/365)*('Field Ops'!W206)*U5</f>
        <v>0</v>
      </c>
      <c r="V39" s="123">
        <f>+($C39/365)*('Field Ops'!X206)*V5</f>
        <v>0</v>
      </c>
      <c r="W39" s="123">
        <f>+($C39/365)*('Field Ops'!Y206)*W5</f>
        <v>0</v>
      </c>
    </row>
    <row r="40" spans="2:23" x14ac:dyDescent="0.2">
      <c r="B40" s="15" t="s">
        <v>138</v>
      </c>
      <c r="C40" s="71">
        <f>+'Inputs General'!E11</f>
        <v>0</v>
      </c>
      <c r="D40" s="83">
        <f t="shared" ref="D40:W40" si="14">+($C40/365)*(SUM(D17:D19)+SUM(D23:D24))</f>
        <v>0</v>
      </c>
      <c r="E40" s="83">
        <f t="shared" si="14"/>
        <v>0</v>
      </c>
      <c r="F40" s="83">
        <f t="shared" ca="1" si="14"/>
        <v>0</v>
      </c>
      <c r="G40" s="83">
        <f t="shared" ca="1" si="14"/>
        <v>0</v>
      </c>
      <c r="H40" s="83">
        <f t="shared" ca="1" si="14"/>
        <v>0</v>
      </c>
      <c r="I40" s="83">
        <f t="shared" ca="1" si="14"/>
        <v>0</v>
      </c>
      <c r="J40" s="83">
        <f t="shared" ca="1" si="14"/>
        <v>0</v>
      </c>
      <c r="K40" s="83">
        <f t="shared" ca="1" si="14"/>
        <v>0</v>
      </c>
      <c r="L40" s="83">
        <f t="shared" ca="1" si="14"/>
        <v>0</v>
      </c>
      <c r="M40" s="83">
        <f t="shared" ca="1" si="14"/>
        <v>0</v>
      </c>
      <c r="N40" s="83">
        <f t="shared" ca="1" si="14"/>
        <v>0</v>
      </c>
      <c r="O40" s="83">
        <f t="shared" ca="1" si="14"/>
        <v>0</v>
      </c>
      <c r="P40" s="83">
        <f t="shared" ca="1" si="14"/>
        <v>0</v>
      </c>
      <c r="Q40" s="83">
        <f t="shared" ca="1" si="14"/>
        <v>0</v>
      </c>
      <c r="R40" s="83">
        <f t="shared" ca="1" si="14"/>
        <v>0</v>
      </c>
      <c r="S40" s="83">
        <f t="shared" ca="1" si="14"/>
        <v>0</v>
      </c>
      <c r="T40" s="83">
        <f t="shared" ca="1" si="14"/>
        <v>0</v>
      </c>
      <c r="U40" s="83">
        <f t="shared" ca="1" si="14"/>
        <v>0</v>
      </c>
      <c r="V40" s="83">
        <f t="shared" ca="1" si="14"/>
        <v>0</v>
      </c>
      <c r="W40" s="83">
        <f t="shared" ca="1" si="14"/>
        <v>0</v>
      </c>
    </row>
    <row r="41" spans="2:23" x14ac:dyDescent="0.2">
      <c r="B41" s="15" t="s">
        <v>139</v>
      </c>
      <c r="C41" s="71">
        <f>+'Inputs General'!E12</f>
        <v>0</v>
      </c>
      <c r="D41" s="83">
        <f t="shared" ref="D41:W41" si="15">+($C41/365)*D14</f>
        <v>0</v>
      </c>
      <c r="E41" s="83">
        <f t="shared" si="15"/>
        <v>0</v>
      </c>
      <c r="F41" s="83">
        <f t="shared" si="15"/>
        <v>0</v>
      </c>
      <c r="G41" s="83">
        <f t="shared" si="15"/>
        <v>0</v>
      </c>
      <c r="H41" s="83">
        <f t="shared" si="15"/>
        <v>0</v>
      </c>
      <c r="I41" s="83">
        <f t="shared" si="15"/>
        <v>0</v>
      </c>
      <c r="J41" s="83">
        <f t="shared" si="15"/>
        <v>0</v>
      </c>
      <c r="K41" s="83">
        <f t="shared" si="15"/>
        <v>0</v>
      </c>
      <c r="L41" s="83">
        <f t="shared" si="15"/>
        <v>0</v>
      </c>
      <c r="M41" s="83">
        <f t="shared" si="15"/>
        <v>0</v>
      </c>
      <c r="N41" s="83">
        <f t="shared" si="15"/>
        <v>0</v>
      </c>
      <c r="O41" s="83">
        <f t="shared" si="15"/>
        <v>0</v>
      </c>
      <c r="P41" s="83">
        <f t="shared" si="15"/>
        <v>0</v>
      </c>
      <c r="Q41" s="83">
        <f t="shared" si="15"/>
        <v>0</v>
      </c>
      <c r="R41" s="83">
        <f t="shared" si="15"/>
        <v>0</v>
      </c>
      <c r="S41" s="83">
        <f t="shared" si="15"/>
        <v>0</v>
      </c>
      <c r="T41" s="83">
        <f t="shared" si="15"/>
        <v>0</v>
      </c>
      <c r="U41" s="83">
        <f t="shared" si="15"/>
        <v>0</v>
      </c>
      <c r="V41" s="83">
        <f t="shared" si="15"/>
        <v>0</v>
      </c>
      <c r="W41" s="83">
        <f t="shared" si="15"/>
        <v>0</v>
      </c>
    </row>
    <row r="42" spans="2:23" x14ac:dyDescent="0.2">
      <c r="B42" s="81"/>
      <c r="D42" s="83"/>
    </row>
    <row r="43" spans="2:23" x14ac:dyDescent="0.2">
      <c r="C43" s="9"/>
      <c r="E43" s="49"/>
    </row>
    <row r="44" spans="2:23" x14ac:dyDescent="0.2">
      <c r="J44" s="8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Y247"/>
  <sheetViews>
    <sheetView showGridLines="0" topLeftCell="B1" zoomScaleNormal="100" workbookViewId="0">
      <pane xSplit="1" ySplit="4" topLeftCell="C189" activePane="bottomRight" state="frozen"/>
      <selection activeCell="B1" sqref="B1"/>
      <selection pane="topRight" activeCell="C1" sqref="C1"/>
      <selection pane="bottomLeft" activeCell="B2" sqref="B2"/>
      <selection pane="bottomRight" activeCell="C212" sqref="C212"/>
    </sheetView>
  </sheetViews>
  <sheetFormatPr defaultRowHeight="12.75" x14ac:dyDescent="0.2"/>
  <cols>
    <col min="1" max="1" width="9.140625" style="2"/>
    <col min="2" max="2" width="42" style="2" customWidth="1"/>
    <col min="3" max="4" width="9.5703125" style="2" customWidth="1"/>
    <col min="5" max="5" width="14" style="2" customWidth="1"/>
    <col min="6" max="25" width="13.7109375" style="2" customWidth="1"/>
    <col min="26" max="16384" width="9.140625" style="2"/>
  </cols>
  <sheetData>
    <row r="1" spans="2:25" ht="13.5" thickBot="1" x14ac:dyDescent="0.25"/>
    <row r="2" spans="2:25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3.5" thickTop="1" x14ac:dyDescent="0.2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2:25" x14ac:dyDescent="0.2">
      <c r="B4" s="1" t="s">
        <v>362</v>
      </c>
      <c r="F4" s="59">
        <v>2016</v>
      </c>
      <c r="G4" s="59">
        <f t="shared" ref="G4:Y4" si="0">+F4+1</f>
        <v>2017</v>
      </c>
      <c r="H4" s="59">
        <f t="shared" si="0"/>
        <v>2018</v>
      </c>
      <c r="I4" s="59">
        <f t="shared" si="0"/>
        <v>2019</v>
      </c>
      <c r="J4" s="59">
        <f t="shared" si="0"/>
        <v>2020</v>
      </c>
      <c r="K4" s="59">
        <f t="shared" si="0"/>
        <v>2021</v>
      </c>
      <c r="L4" s="59">
        <f t="shared" si="0"/>
        <v>2022</v>
      </c>
      <c r="M4" s="59">
        <f t="shared" si="0"/>
        <v>2023</v>
      </c>
      <c r="N4" s="59">
        <f t="shared" si="0"/>
        <v>2024</v>
      </c>
      <c r="O4" s="59">
        <f t="shared" si="0"/>
        <v>2025</v>
      </c>
      <c r="P4" s="59">
        <f t="shared" si="0"/>
        <v>2026</v>
      </c>
      <c r="Q4" s="59">
        <f t="shared" si="0"/>
        <v>2027</v>
      </c>
      <c r="R4" s="59">
        <f t="shared" si="0"/>
        <v>2028</v>
      </c>
      <c r="S4" s="59">
        <f t="shared" si="0"/>
        <v>2029</v>
      </c>
      <c r="T4" s="59">
        <f t="shared" si="0"/>
        <v>2030</v>
      </c>
      <c r="U4" s="59">
        <f t="shared" si="0"/>
        <v>2031</v>
      </c>
      <c r="V4" s="59">
        <f t="shared" si="0"/>
        <v>2032</v>
      </c>
      <c r="W4" s="59">
        <f t="shared" si="0"/>
        <v>2033</v>
      </c>
      <c r="X4" s="59">
        <f t="shared" si="0"/>
        <v>2034</v>
      </c>
      <c r="Y4" s="59">
        <f t="shared" si="0"/>
        <v>2035</v>
      </c>
    </row>
    <row r="6" spans="2:25" x14ac:dyDescent="0.2">
      <c r="B6" s="1"/>
    </row>
    <row r="8" spans="2:25" x14ac:dyDescent="0.2">
      <c r="B8" s="2" t="s">
        <v>93</v>
      </c>
    </row>
    <row r="10" spans="2:25" x14ac:dyDescent="0.2">
      <c r="B10" s="129"/>
      <c r="C10" s="129">
        <v>2016</v>
      </c>
      <c r="F10" s="6">
        <f>+'Inputs Field'!D10</f>
        <v>0</v>
      </c>
      <c r="G10" s="6">
        <f>+'Inputs Field'!E10+F10</f>
        <v>0</v>
      </c>
      <c r="H10" s="6">
        <f>+'Inputs Field'!F10+G10</f>
        <v>0</v>
      </c>
      <c r="I10" s="6">
        <f>+'Inputs Field'!G10+H10</f>
        <v>0</v>
      </c>
      <c r="J10" s="6">
        <f>+'Inputs Field'!H10+I10</f>
        <v>0</v>
      </c>
      <c r="K10" s="6">
        <f>+'Inputs Field'!I10+J10</f>
        <v>0</v>
      </c>
      <c r="L10" s="6">
        <f>+'Inputs Field'!J10+K10</f>
        <v>0</v>
      </c>
      <c r="M10" s="6">
        <f>+'Inputs Field'!K10+L10</f>
        <v>0</v>
      </c>
      <c r="N10" s="6">
        <f>+'Inputs Field'!L10+M10</f>
        <v>0</v>
      </c>
      <c r="O10" s="6">
        <f>+'Inputs Field'!M10+N10</f>
        <v>0</v>
      </c>
      <c r="P10" s="6">
        <f>+'Inputs Field'!N10+O10</f>
        <v>0</v>
      </c>
      <c r="Q10" s="6">
        <f>+'Inputs Field'!O10+P10</f>
        <v>0</v>
      </c>
      <c r="R10" s="6">
        <f>+'Inputs Field'!Y10+Q10</f>
        <v>0</v>
      </c>
      <c r="S10" s="6">
        <f>+'Inputs Field'!Z10+R10</f>
        <v>0</v>
      </c>
      <c r="T10" s="6">
        <f>+'Inputs Field'!AA10+S10</f>
        <v>0</v>
      </c>
      <c r="U10" s="6">
        <f>+'Inputs Field'!AB10+T10</f>
        <v>0</v>
      </c>
      <c r="V10" s="6">
        <f>+'Inputs Field'!AC10+U10</f>
        <v>0</v>
      </c>
      <c r="W10" s="6">
        <f>+'Inputs Field'!AD10+V10</f>
        <v>0</v>
      </c>
      <c r="X10" s="6">
        <f>+'Inputs Field'!AE10+W10</f>
        <v>0</v>
      </c>
      <c r="Y10" s="6">
        <f>+'Inputs Field'!AF10+X10</f>
        <v>0</v>
      </c>
    </row>
    <row r="11" spans="2:25" x14ac:dyDescent="0.2">
      <c r="B11" s="129" t="s">
        <v>485</v>
      </c>
      <c r="C11" s="129">
        <f>+C10+1</f>
        <v>2017</v>
      </c>
      <c r="F11" s="6">
        <f>+'Inputs Field'!D11</f>
        <v>0</v>
      </c>
      <c r="G11" s="6">
        <f>+'Inputs Field'!E11+F11</f>
        <v>600</v>
      </c>
      <c r="H11" s="6">
        <f>+'Inputs Field'!F11+G11</f>
        <v>600</v>
      </c>
      <c r="I11" s="6">
        <f>+'Inputs Field'!G11+H11</f>
        <v>600</v>
      </c>
      <c r="J11" s="6">
        <f>+'Inputs Field'!H11+I11</f>
        <v>600</v>
      </c>
      <c r="K11" s="6">
        <f>+'Inputs Field'!I11+J11</f>
        <v>600</v>
      </c>
      <c r="L11" s="6">
        <f>+'Inputs Field'!J11+K11</f>
        <v>600</v>
      </c>
      <c r="M11" s="6">
        <f>+'Inputs Field'!K11+L11</f>
        <v>600</v>
      </c>
      <c r="N11" s="6">
        <f>+'Inputs Field'!L11+M11</f>
        <v>600</v>
      </c>
      <c r="O11" s="6">
        <f>+'Inputs Field'!M11+N11</f>
        <v>600</v>
      </c>
      <c r="P11" s="6">
        <f>+'Inputs Field'!N11+O11</f>
        <v>600</v>
      </c>
      <c r="Q11" s="6">
        <f>+'Inputs Field'!O11+P11</f>
        <v>600</v>
      </c>
      <c r="R11" s="6">
        <f>+'Inputs Field'!Y11+Q11</f>
        <v>600</v>
      </c>
      <c r="S11" s="6">
        <f>+'Inputs Field'!Z11+R11</f>
        <v>600</v>
      </c>
      <c r="T11" s="6">
        <f>+'Inputs Field'!AA11+S11</f>
        <v>600</v>
      </c>
      <c r="U11" s="6">
        <f>+'Inputs Field'!AB11+T11</f>
        <v>600</v>
      </c>
      <c r="V11" s="6">
        <f>+'Inputs Field'!AC11+U11</f>
        <v>600</v>
      </c>
      <c r="W11" s="6">
        <f>+'Inputs Field'!AD11+V11</f>
        <v>600</v>
      </c>
      <c r="X11" s="6">
        <f>+'Inputs Field'!AE11+W11</f>
        <v>600</v>
      </c>
      <c r="Y11" s="6">
        <f>+'Inputs Field'!AF11+X11</f>
        <v>600</v>
      </c>
    </row>
    <row r="12" spans="2:25" x14ac:dyDescent="0.2">
      <c r="B12" s="129" t="s">
        <v>486</v>
      </c>
      <c r="C12" s="129">
        <f>+C11</f>
        <v>2017</v>
      </c>
      <c r="F12" s="6">
        <f>+'Inputs Field'!D12</f>
        <v>0</v>
      </c>
      <c r="G12" s="6">
        <f>+'Inputs Field'!E12+F12</f>
        <v>900</v>
      </c>
      <c r="H12" s="6">
        <f>+'Inputs Field'!F12+G12</f>
        <v>900</v>
      </c>
      <c r="I12" s="6">
        <f>+'Inputs Field'!G12+H12</f>
        <v>900</v>
      </c>
      <c r="J12" s="6">
        <f>+'Inputs Field'!H12+I12</f>
        <v>900</v>
      </c>
      <c r="K12" s="6">
        <f>+'Inputs Field'!I12+J12</f>
        <v>900</v>
      </c>
      <c r="L12" s="6">
        <f>+'Inputs Field'!J12+K12</f>
        <v>900</v>
      </c>
      <c r="M12" s="6">
        <f>+'Inputs Field'!K12+L12</f>
        <v>900</v>
      </c>
      <c r="N12" s="6">
        <f>+'Inputs Field'!L12+M12</f>
        <v>900</v>
      </c>
      <c r="O12" s="6">
        <f>+'Inputs Field'!M12+N12</f>
        <v>900</v>
      </c>
      <c r="P12" s="6">
        <f>+'Inputs Field'!N12+O12</f>
        <v>900</v>
      </c>
      <c r="Q12" s="6">
        <f>+'Inputs Field'!O12+P12</f>
        <v>900</v>
      </c>
      <c r="R12" s="6">
        <f>+'Inputs Field'!Y12+Q12</f>
        <v>900</v>
      </c>
      <c r="S12" s="6">
        <f>+'Inputs Field'!Z12+R12</f>
        <v>900</v>
      </c>
      <c r="T12" s="6">
        <f>+'Inputs Field'!AA12+S12</f>
        <v>900</v>
      </c>
      <c r="U12" s="6">
        <f>+'Inputs Field'!AB12+T12</f>
        <v>900</v>
      </c>
      <c r="V12" s="6">
        <f>+'Inputs Field'!AC12+U12</f>
        <v>900</v>
      </c>
      <c r="W12" s="6">
        <f>+'Inputs Field'!AD12+V12</f>
        <v>900</v>
      </c>
      <c r="X12" s="6">
        <f>+'Inputs Field'!AE12+W12</f>
        <v>900</v>
      </c>
      <c r="Y12" s="6">
        <f>+'Inputs Field'!AF12+X12</f>
        <v>900</v>
      </c>
    </row>
    <row r="13" spans="2:25" x14ac:dyDescent="0.2">
      <c r="B13" s="129" t="s">
        <v>487</v>
      </c>
      <c r="C13" s="129">
        <f t="shared" ref="C13:C15" si="1">+C12</f>
        <v>2017</v>
      </c>
      <c r="F13" s="6">
        <f>+'Inputs Field'!D13</f>
        <v>0</v>
      </c>
      <c r="G13" s="6">
        <f>+'Inputs Field'!E13+F13</f>
        <v>500</v>
      </c>
      <c r="H13" s="6">
        <f>+'Inputs Field'!F13+G13</f>
        <v>500</v>
      </c>
      <c r="I13" s="6">
        <f>+'Inputs Field'!G13+H13</f>
        <v>500</v>
      </c>
      <c r="J13" s="6">
        <f>+'Inputs Field'!H13+I13</f>
        <v>500</v>
      </c>
      <c r="K13" s="6">
        <f>+'Inputs Field'!I13+J13</f>
        <v>500</v>
      </c>
      <c r="L13" s="6">
        <f>+'Inputs Field'!J13+K13</f>
        <v>500</v>
      </c>
      <c r="M13" s="6">
        <f>+'Inputs Field'!K13+L13</f>
        <v>500</v>
      </c>
      <c r="N13" s="6">
        <f>+'Inputs Field'!L13+M13</f>
        <v>500</v>
      </c>
      <c r="O13" s="6">
        <f>+'Inputs Field'!M13+N13</f>
        <v>500</v>
      </c>
      <c r="P13" s="6">
        <f>+'Inputs Field'!N13+O13</f>
        <v>500</v>
      </c>
      <c r="Q13" s="6">
        <f>+'Inputs Field'!O13+P13</f>
        <v>500</v>
      </c>
      <c r="R13" s="6">
        <f>+'Inputs Field'!Y13+Q13</f>
        <v>500</v>
      </c>
      <c r="S13" s="6">
        <f>+'Inputs Field'!Z13+R13</f>
        <v>500</v>
      </c>
      <c r="T13" s="6">
        <f>+'Inputs Field'!AA13+S13</f>
        <v>500</v>
      </c>
      <c r="U13" s="6">
        <f>+'Inputs Field'!AB13+T13</f>
        <v>500</v>
      </c>
      <c r="V13" s="6">
        <f>+'Inputs Field'!AC13+U13</f>
        <v>500</v>
      </c>
      <c r="W13" s="6">
        <f>+'Inputs Field'!AD13+V13</f>
        <v>500</v>
      </c>
      <c r="X13" s="6">
        <f>+'Inputs Field'!AE13+W13</f>
        <v>500</v>
      </c>
      <c r="Y13" s="6">
        <f>+'Inputs Field'!AF13+X13</f>
        <v>500</v>
      </c>
    </row>
    <row r="14" spans="2:25" x14ac:dyDescent="0.2">
      <c r="B14" s="129" t="s">
        <v>497</v>
      </c>
      <c r="C14" s="129">
        <f t="shared" si="1"/>
        <v>2017</v>
      </c>
      <c r="F14" s="6">
        <f>+'Inputs Field'!D14</f>
        <v>0</v>
      </c>
      <c r="G14" s="6">
        <f>+'Inputs Field'!E14+F14</f>
        <v>700</v>
      </c>
      <c r="H14" s="6">
        <f>+'Inputs Field'!F14+G14</f>
        <v>700</v>
      </c>
      <c r="I14" s="6">
        <f>+'Inputs Field'!G14+H14</f>
        <v>700</v>
      </c>
      <c r="J14" s="6">
        <f>+'Inputs Field'!H14+I14</f>
        <v>700</v>
      </c>
      <c r="K14" s="6">
        <f>+'Inputs Field'!I14+J14</f>
        <v>700</v>
      </c>
      <c r="L14" s="6">
        <f>+'Inputs Field'!J14+K14</f>
        <v>700</v>
      </c>
      <c r="M14" s="6">
        <f>+'Inputs Field'!K14+L14</f>
        <v>700</v>
      </c>
      <c r="N14" s="6">
        <f>+'Inputs Field'!L14+M14</f>
        <v>700</v>
      </c>
      <c r="O14" s="6">
        <f>+'Inputs Field'!M14+N14</f>
        <v>700</v>
      </c>
      <c r="P14" s="6">
        <f>+'Inputs Field'!N14+O14</f>
        <v>700</v>
      </c>
      <c r="Q14" s="6">
        <f>+'Inputs Field'!O14+P14</f>
        <v>700</v>
      </c>
      <c r="R14" s="6">
        <f>+'Inputs Field'!Y14+Q14</f>
        <v>700</v>
      </c>
      <c r="S14" s="6">
        <f>+'Inputs Field'!Z14+R14</f>
        <v>700</v>
      </c>
      <c r="T14" s="6">
        <f>+'Inputs Field'!AA14+S14</f>
        <v>700</v>
      </c>
      <c r="U14" s="6">
        <f>+'Inputs Field'!AB14+T14</f>
        <v>700</v>
      </c>
      <c r="V14" s="6">
        <f>+'Inputs Field'!AC14+U14</f>
        <v>700</v>
      </c>
      <c r="W14" s="6">
        <f>+'Inputs Field'!AD14+V14</f>
        <v>700</v>
      </c>
      <c r="X14" s="6">
        <f>+'Inputs Field'!AE14+W14</f>
        <v>700</v>
      </c>
      <c r="Y14" s="6">
        <f>+'Inputs Field'!AF14+X14</f>
        <v>700</v>
      </c>
    </row>
    <row r="15" spans="2:25" x14ac:dyDescent="0.2">
      <c r="B15" s="129" t="s">
        <v>488</v>
      </c>
      <c r="C15" s="129">
        <f t="shared" si="1"/>
        <v>2017</v>
      </c>
      <c r="F15" s="2">
        <f>+'Inputs Field'!D15</f>
        <v>0</v>
      </c>
      <c r="G15" s="6">
        <f>+'Inputs Field'!E15+F15</f>
        <v>500</v>
      </c>
      <c r="H15" s="6">
        <f>+'Inputs Field'!F15+G15</f>
        <v>500</v>
      </c>
      <c r="I15" s="6">
        <f>+'Inputs Field'!G15+H15</f>
        <v>500</v>
      </c>
      <c r="J15" s="6">
        <f>+'Inputs Field'!H15+I15</f>
        <v>500</v>
      </c>
      <c r="K15" s="6">
        <f>+'Inputs Field'!I15+J15</f>
        <v>500</v>
      </c>
      <c r="L15" s="6">
        <f>+'Inputs Field'!J15+K15</f>
        <v>500</v>
      </c>
      <c r="M15" s="6">
        <f>+'Inputs Field'!K15+L15</f>
        <v>500</v>
      </c>
      <c r="N15" s="6">
        <f>+'Inputs Field'!L15+M15</f>
        <v>500</v>
      </c>
      <c r="O15" s="6">
        <f>+'Inputs Field'!M15+N15</f>
        <v>500</v>
      </c>
      <c r="P15" s="6">
        <f>+'Inputs Field'!N15+O15</f>
        <v>500</v>
      </c>
      <c r="Q15" s="6">
        <f>+'Inputs Field'!O15+P15</f>
        <v>500</v>
      </c>
      <c r="R15" s="6">
        <f>+'Inputs Field'!Y15+Q15</f>
        <v>500</v>
      </c>
      <c r="S15" s="6">
        <f>+'Inputs Field'!Z15+R15</f>
        <v>500</v>
      </c>
      <c r="T15" s="6">
        <f>+'Inputs Field'!AA15+S15</f>
        <v>500</v>
      </c>
      <c r="U15" s="6">
        <f>+'Inputs Field'!AB15+T15</f>
        <v>500</v>
      </c>
      <c r="V15" s="6">
        <f>+'Inputs Field'!AC15+U15</f>
        <v>500</v>
      </c>
      <c r="W15" s="6">
        <f>+'Inputs Field'!AD15+V15</f>
        <v>500</v>
      </c>
      <c r="X15" s="6">
        <f>+'Inputs Field'!AE15+W15</f>
        <v>500</v>
      </c>
      <c r="Y15" s="6">
        <f>+'Inputs Field'!AF15+X15</f>
        <v>500</v>
      </c>
    </row>
    <row r="17" spans="2:25" x14ac:dyDescent="0.2">
      <c r="B17" s="2" t="s">
        <v>94</v>
      </c>
      <c r="F17" s="6">
        <f t="shared" ref="F17:Y17" si="2">SUM(F9:F15)</f>
        <v>0</v>
      </c>
      <c r="G17" s="6">
        <f t="shared" si="2"/>
        <v>3200</v>
      </c>
      <c r="H17" s="6">
        <f t="shared" si="2"/>
        <v>3200</v>
      </c>
      <c r="I17" s="6">
        <f t="shared" si="2"/>
        <v>3200</v>
      </c>
      <c r="J17" s="6">
        <f t="shared" si="2"/>
        <v>3200</v>
      </c>
      <c r="K17" s="6">
        <f t="shared" si="2"/>
        <v>3200</v>
      </c>
      <c r="L17" s="6">
        <f t="shared" si="2"/>
        <v>3200</v>
      </c>
      <c r="M17" s="6">
        <f t="shared" si="2"/>
        <v>3200</v>
      </c>
      <c r="N17" s="6">
        <f t="shared" si="2"/>
        <v>3200</v>
      </c>
      <c r="O17" s="6">
        <f t="shared" si="2"/>
        <v>3200</v>
      </c>
      <c r="P17" s="6">
        <f t="shared" si="2"/>
        <v>3200</v>
      </c>
      <c r="Q17" s="6">
        <f t="shared" si="2"/>
        <v>3200</v>
      </c>
      <c r="R17" s="6">
        <f t="shared" si="2"/>
        <v>3200</v>
      </c>
      <c r="S17" s="6">
        <f t="shared" si="2"/>
        <v>3200</v>
      </c>
      <c r="T17" s="6">
        <f t="shared" si="2"/>
        <v>3200</v>
      </c>
      <c r="U17" s="6">
        <f t="shared" si="2"/>
        <v>3200</v>
      </c>
      <c r="V17" s="6">
        <f t="shared" si="2"/>
        <v>3200</v>
      </c>
      <c r="W17" s="6">
        <f t="shared" si="2"/>
        <v>3200</v>
      </c>
      <c r="X17" s="6">
        <f t="shared" si="2"/>
        <v>3200</v>
      </c>
      <c r="Y17" s="6">
        <f t="shared" si="2"/>
        <v>3200</v>
      </c>
    </row>
    <row r="18" spans="2:25" x14ac:dyDescent="0.2">
      <c r="B18" s="2" t="s">
        <v>95</v>
      </c>
      <c r="F18" s="6">
        <f>+F17</f>
        <v>0</v>
      </c>
      <c r="G18" s="6">
        <f>+G17-SUM($F18:F18)</f>
        <v>3200</v>
      </c>
      <c r="H18" s="6">
        <f>+H17-SUM($F18:G18)</f>
        <v>0</v>
      </c>
      <c r="I18" s="6">
        <f>+I17-SUM($F18:H18)</f>
        <v>0</v>
      </c>
      <c r="J18" s="6">
        <f>+J17-SUM($F18:I18)</f>
        <v>0</v>
      </c>
      <c r="K18" s="6">
        <f>+K17-SUM($F18:J18)</f>
        <v>0</v>
      </c>
      <c r="L18" s="6">
        <f>+L17-SUM($F18:K18)</f>
        <v>0</v>
      </c>
      <c r="M18" s="6">
        <f>+M17-SUM($F18:L18)</f>
        <v>0</v>
      </c>
      <c r="N18" s="6">
        <f>+N17-SUM($F18:M18)</f>
        <v>0</v>
      </c>
      <c r="O18" s="6">
        <f>+O17-SUM($F18:N18)</f>
        <v>0</v>
      </c>
      <c r="P18" s="6">
        <f>+P17-SUM($F18:O18)</f>
        <v>0</v>
      </c>
      <c r="Q18" s="6">
        <f>+Q17-SUM($F18:P18)</f>
        <v>0</v>
      </c>
      <c r="R18" s="6">
        <f>+R17-SUM($F18:Q18)</f>
        <v>0</v>
      </c>
      <c r="S18" s="6">
        <f>+S17-SUM($F18:R18)</f>
        <v>0</v>
      </c>
      <c r="T18" s="6">
        <f>+T17-SUM($F18:S18)</f>
        <v>0</v>
      </c>
      <c r="U18" s="6">
        <f>+U17-SUM($F18:T18)</f>
        <v>0</v>
      </c>
      <c r="V18" s="6">
        <f>+V17-SUM($F18:U18)</f>
        <v>0</v>
      </c>
      <c r="W18" s="6">
        <f>+W17-SUM($F18:V18)</f>
        <v>0</v>
      </c>
      <c r="X18" s="6">
        <f>+X17-SUM($F18:W18)</f>
        <v>0</v>
      </c>
      <c r="Y18" s="6">
        <f>+Y17-SUM($F18:X18)</f>
        <v>0</v>
      </c>
    </row>
    <row r="20" spans="2:25" x14ac:dyDescent="0.2">
      <c r="B20" s="1" t="s">
        <v>99</v>
      </c>
    </row>
    <row r="21" spans="2:25" x14ac:dyDescent="0.2">
      <c r="B21" s="2" t="s">
        <v>96</v>
      </c>
      <c r="F21" s="91">
        <v>0</v>
      </c>
      <c r="G21" s="91">
        <f>+'Inputs Field'!C27</f>
        <v>0</v>
      </c>
      <c r="H21" s="91">
        <f>+'Inputs Field'!D27</f>
        <v>0</v>
      </c>
      <c r="I21" s="91">
        <f>+'Inputs Field'!E27</f>
        <v>0</v>
      </c>
      <c r="J21" s="91">
        <f>+'Inputs Field'!F27</f>
        <v>4</v>
      </c>
      <c r="K21" s="91">
        <f>+'Inputs Field'!G27</f>
        <v>8</v>
      </c>
      <c r="L21" s="91">
        <f>+'Inputs Field'!H27</f>
        <v>12</v>
      </c>
      <c r="M21" s="91">
        <f>+'Inputs Field'!I27</f>
        <v>15</v>
      </c>
      <c r="N21" s="91">
        <f>+'Inputs Field'!J27</f>
        <v>17</v>
      </c>
      <c r="O21" s="91">
        <f>+'Inputs Field'!K27</f>
        <v>19</v>
      </c>
      <c r="P21" s="91">
        <f>+'Inputs Field'!L27</f>
        <v>19</v>
      </c>
      <c r="Q21" s="91">
        <f>+'Inputs Field'!M27</f>
        <v>19</v>
      </c>
      <c r="R21" s="91">
        <f>+'Inputs Field'!N27</f>
        <v>19</v>
      </c>
      <c r="S21" s="91">
        <f>+'Inputs Field'!O27</f>
        <v>19</v>
      </c>
      <c r="T21" s="91">
        <f>+'Inputs Field'!P27</f>
        <v>19</v>
      </c>
      <c r="U21" s="91">
        <f>+'Inputs Field'!Q27</f>
        <v>19</v>
      </c>
      <c r="V21" s="91">
        <f>+'Inputs Field'!R27</f>
        <v>19</v>
      </c>
      <c r="W21" s="91">
        <f>+'Inputs Field'!S27</f>
        <v>19</v>
      </c>
      <c r="X21" s="91">
        <f>+'Inputs Field'!T27</f>
        <v>19</v>
      </c>
      <c r="Y21" s="91">
        <f>+'Inputs Field'!U27</f>
        <v>19</v>
      </c>
    </row>
    <row r="22" spans="2:25" x14ac:dyDescent="0.2"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2:25" x14ac:dyDescent="0.2">
      <c r="B23" s="2" t="s">
        <v>97</v>
      </c>
      <c r="C23" s="2">
        <v>2016</v>
      </c>
      <c r="F23" s="83"/>
      <c r="G23" s="83">
        <f t="shared" ref="G23:Y23" si="3">+$F18*G21</f>
        <v>0</v>
      </c>
      <c r="H23" s="83">
        <f t="shared" si="3"/>
        <v>0</v>
      </c>
      <c r="I23" s="83">
        <f t="shared" si="3"/>
        <v>0</v>
      </c>
      <c r="J23" s="83">
        <f t="shared" si="3"/>
        <v>0</v>
      </c>
      <c r="K23" s="83">
        <f t="shared" si="3"/>
        <v>0</v>
      </c>
      <c r="L23" s="83">
        <f t="shared" si="3"/>
        <v>0</v>
      </c>
      <c r="M23" s="83">
        <f t="shared" si="3"/>
        <v>0</v>
      </c>
      <c r="N23" s="83">
        <f t="shared" si="3"/>
        <v>0</v>
      </c>
      <c r="O23" s="83">
        <f t="shared" si="3"/>
        <v>0</v>
      </c>
      <c r="P23" s="83">
        <f t="shared" si="3"/>
        <v>0</v>
      </c>
      <c r="Q23" s="83">
        <f t="shared" si="3"/>
        <v>0</v>
      </c>
      <c r="R23" s="83">
        <f t="shared" si="3"/>
        <v>0</v>
      </c>
      <c r="S23" s="83">
        <f t="shared" si="3"/>
        <v>0</v>
      </c>
      <c r="T23" s="83">
        <f t="shared" si="3"/>
        <v>0</v>
      </c>
      <c r="U23" s="83">
        <f t="shared" si="3"/>
        <v>0</v>
      </c>
      <c r="V23" s="83">
        <f t="shared" si="3"/>
        <v>0</v>
      </c>
      <c r="W23" s="83">
        <f t="shared" si="3"/>
        <v>0</v>
      </c>
      <c r="X23" s="83">
        <f t="shared" si="3"/>
        <v>0</v>
      </c>
      <c r="Y23" s="83">
        <f t="shared" si="3"/>
        <v>0</v>
      </c>
    </row>
    <row r="24" spans="2:25" x14ac:dyDescent="0.2">
      <c r="C24" s="2">
        <f>+C23+1</f>
        <v>2017</v>
      </c>
      <c r="F24" s="83"/>
      <c r="G24" s="83">
        <f>+$G18*G21</f>
        <v>0</v>
      </c>
      <c r="H24" s="123">
        <f t="shared" ref="H24:Y24" si="4">+$G18*H21</f>
        <v>0</v>
      </c>
      <c r="I24" s="123">
        <f t="shared" si="4"/>
        <v>0</v>
      </c>
      <c r="J24" s="123">
        <f t="shared" si="4"/>
        <v>12800</v>
      </c>
      <c r="K24" s="123">
        <f t="shared" si="4"/>
        <v>25600</v>
      </c>
      <c r="L24" s="123">
        <f t="shared" si="4"/>
        <v>38400</v>
      </c>
      <c r="M24" s="123">
        <f t="shared" si="4"/>
        <v>48000</v>
      </c>
      <c r="N24" s="123">
        <f t="shared" si="4"/>
        <v>54400</v>
      </c>
      <c r="O24" s="123">
        <f t="shared" si="4"/>
        <v>60800</v>
      </c>
      <c r="P24" s="123">
        <f t="shared" si="4"/>
        <v>60800</v>
      </c>
      <c r="Q24" s="123">
        <f t="shared" si="4"/>
        <v>60800</v>
      </c>
      <c r="R24" s="123">
        <f t="shared" si="4"/>
        <v>60800</v>
      </c>
      <c r="S24" s="123">
        <f t="shared" si="4"/>
        <v>60800</v>
      </c>
      <c r="T24" s="123">
        <f t="shared" si="4"/>
        <v>60800</v>
      </c>
      <c r="U24" s="123">
        <f t="shared" si="4"/>
        <v>60800</v>
      </c>
      <c r="V24" s="123">
        <f t="shared" si="4"/>
        <v>60800</v>
      </c>
      <c r="W24" s="123">
        <f t="shared" si="4"/>
        <v>60800</v>
      </c>
      <c r="X24" s="123">
        <f t="shared" si="4"/>
        <v>60800</v>
      </c>
      <c r="Y24" s="123">
        <f t="shared" si="4"/>
        <v>60800</v>
      </c>
    </row>
    <row r="25" spans="2:25" x14ac:dyDescent="0.2">
      <c r="B25" s="1"/>
      <c r="C25" s="2">
        <f t="shared" ref="C25:C32" si="5">+C24+1</f>
        <v>2018</v>
      </c>
      <c r="F25" s="83"/>
      <c r="G25" s="83"/>
      <c r="H25" s="83">
        <f>+$H18*G21</f>
        <v>0</v>
      </c>
      <c r="I25" s="123">
        <f t="shared" ref="I25:Y25" si="6">+$H18*H21</f>
        <v>0</v>
      </c>
      <c r="J25" s="123">
        <f t="shared" si="6"/>
        <v>0</v>
      </c>
      <c r="K25" s="123">
        <f t="shared" si="6"/>
        <v>0</v>
      </c>
      <c r="L25" s="123">
        <f t="shared" si="6"/>
        <v>0</v>
      </c>
      <c r="M25" s="123">
        <f t="shared" si="6"/>
        <v>0</v>
      </c>
      <c r="N25" s="123">
        <f t="shared" si="6"/>
        <v>0</v>
      </c>
      <c r="O25" s="123">
        <f t="shared" si="6"/>
        <v>0</v>
      </c>
      <c r="P25" s="123">
        <f t="shared" si="6"/>
        <v>0</v>
      </c>
      <c r="Q25" s="123">
        <f t="shared" si="6"/>
        <v>0</v>
      </c>
      <c r="R25" s="123">
        <f t="shared" si="6"/>
        <v>0</v>
      </c>
      <c r="S25" s="123">
        <f t="shared" si="6"/>
        <v>0</v>
      </c>
      <c r="T25" s="123">
        <f t="shared" si="6"/>
        <v>0</v>
      </c>
      <c r="U25" s="123">
        <f t="shared" si="6"/>
        <v>0</v>
      </c>
      <c r="V25" s="123">
        <f t="shared" si="6"/>
        <v>0</v>
      </c>
      <c r="W25" s="123">
        <f t="shared" si="6"/>
        <v>0</v>
      </c>
      <c r="X25" s="123">
        <f t="shared" si="6"/>
        <v>0</v>
      </c>
      <c r="Y25" s="123">
        <f t="shared" si="6"/>
        <v>0</v>
      </c>
    </row>
    <row r="26" spans="2:25" x14ac:dyDescent="0.2">
      <c r="C26" s="2">
        <f t="shared" si="5"/>
        <v>2019</v>
      </c>
      <c r="F26" s="83"/>
      <c r="G26" s="83"/>
      <c r="H26" s="83"/>
      <c r="I26" s="83">
        <f>+$I18*G21</f>
        <v>0</v>
      </c>
      <c r="J26" s="123">
        <f t="shared" ref="J26:Y26" si="7">+$I18*H21</f>
        <v>0</v>
      </c>
      <c r="K26" s="123">
        <f t="shared" si="7"/>
        <v>0</v>
      </c>
      <c r="L26" s="123">
        <f t="shared" si="7"/>
        <v>0</v>
      </c>
      <c r="M26" s="123">
        <f t="shared" si="7"/>
        <v>0</v>
      </c>
      <c r="N26" s="123">
        <f t="shared" si="7"/>
        <v>0</v>
      </c>
      <c r="O26" s="123">
        <f t="shared" si="7"/>
        <v>0</v>
      </c>
      <c r="P26" s="123">
        <f t="shared" si="7"/>
        <v>0</v>
      </c>
      <c r="Q26" s="123">
        <f t="shared" si="7"/>
        <v>0</v>
      </c>
      <c r="R26" s="123">
        <f t="shared" si="7"/>
        <v>0</v>
      </c>
      <c r="S26" s="123">
        <f t="shared" si="7"/>
        <v>0</v>
      </c>
      <c r="T26" s="123">
        <f t="shared" si="7"/>
        <v>0</v>
      </c>
      <c r="U26" s="123">
        <f t="shared" si="7"/>
        <v>0</v>
      </c>
      <c r="V26" s="123">
        <f t="shared" si="7"/>
        <v>0</v>
      </c>
      <c r="W26" s="123">
        <f t="shared" si="7"/>
        <v>0</v>
      </c>
      <c r="X26" s="123">
        <f t="shared" si="7"/>
        <v>0</v>
      </c>
      <c r="Y26" s="123">
        <f t="shared" si="7"/>
        <v>0</v>
      </c>
    </row>
    <row r="27" spans="2:25" x14ac:dyDescent="0.2">
      <c r="C27" s="2">
        <f t="shared" si="5"/>
        <v>2020</v>
      </c>
      <c r="F27" s="83"/>
      <c r="G27" s="83"/>
      <c r="H27" s="83"/>
      <c r="I27" s="83"/>
      <c r="J27" s="83">
        <f>+$J18*G21</f>
        <v>0</v>
      </c>
      <c r="K27" s="123">
        <f t="shared" ref="K27:Y27" si="8">+$J18*H21</f>
        <v>0</v>
      </c>
      <c r="L27" s="123">
        <f t="shared" si="8"/>
        <v>0</v>
      </c>
      <c r="M27" s="123">
        <f t="shared" si="8"/>
        <v>0</v>
      </c>
      <c r="N27" s="123">
        <f t="shared" si="8"/>
        <v>0</v>
      </c>
      <c r="O27" s="123">
        <f t="shared" si="8"/>
        <v>0</v>
      </c>
      <c r="P27" s="123">
        <f t="shared" si="8"/>
        <v>0</v>
      </c>
      <c r="Q27" s="123">
        <f t="shared" si="8"/>
        <v>0</v>
      </c>
      <c r="R27" s="123">
        <f t="shared" si="8"/>
        <v>0</v>
      </c>
      <c r="S27" s="123">
        <f t="shared" si="8"/>
        <v>0</v>
      </c>
      <c r="T27" s="123">
        <f t="shared" si="8"/>
        <v>0</v>
      </c>
      <c r="U27" s="123">
        <f t="shared" si="8"/>
        <v>0</v>
      </c>
      <c r="V27" s="123">
        <f t="shared" si="8"/>
        <v>0</v>
      </c>
      <c r="W27" s="123">
        <f t="shared" si="8"/>
        <v>0</v>
      </c>
      <c r="X27" s="123">
        <f t="shared" si="8"/>
        <v>0</v>
      </c>
      <c r="Y27" s="123">
        <f t="shared" si="8"/>
        <v>0</v>
      </c>
    </row>
    <row r="28" spans="2:25" x14ac:dyDescent="0.2">
      <c r="C28" s="2">
        <f t="shared" si="5"/>
        <v>2021</v>
      </c>
      <c r="F28" s="83"/>
      <c r="G28" s="83"/>
      <c r="H28" s="83"/>
      <c r="I28" s="83"/>
      <c r="J28" s="83"/>
      <c r="K28" s="83">
        <f>+$K18*G21</f>
        <v>0</v>
      </c>
      <c r="L28" s="123">
        <f t="shared" ref="L28:Y28" si="9">+$K18*H21</f>
        <v>0</v>
      </c>
      <c r="M28" s="123">
        <f t="shared" si="9"/>
        <v>0</v>
      </c>
      <c r="N28" s="123">
        <f t="shared" si="9"/>
        <v>0</v>
      </c>
      <c r="O28" s="123">
        <f t="shared" si="9"/>
        <v>0</v>
      </c>
      <c r="P28" s="123">
        <f t="shared" si="9"/>
        <v>0</v>
      </c>
      <c r="Q28" s="123">
        <f t="shared" si="9"/>
        <v>0</v>
      </c>
      <c r="R28" s="123">
        <f t="shared" si="9"/>
        <v>0</v>
      </c>
      <c r="S28" s="123">
        <f t="shared" si="9"/>
        <v>0</v>
      </c>
      <c r="T28" s="123">
        <f t="shared" si="9"/>
        <v>0</v>
      </c>
      <c r="U28" s="123">
        <f t="shared" si="9"/>
        <v>0</v>
      </c>
      <c r="V28" s="123">
        <f t="shared" si="9"/>
        <v>0</v>
      </c>
      <c r="W28" s="123">
        <f t="shared" si="9"/>
        <v>0</v>
      </c>
      <c r="X28" s="123">
        <f t="shared" si="9"/>
        <v>0</v>
      </c>
      <c r="Y28" s="123">
        <f t="shared" si="9"/>
        <v>0</v>
      </c>
    </row>
    <row r="29" spans="2:25" x14ac:dyDescent="0.2">
      <c r="C29" s="2">
        <f t="shared" si="5"/>
        <v>2022</v>
      </c>
      <c r="F29" s="83"/>
      <c r="G29" s="83"/>
      <c r="H29" s="83"/>
      <c r="I29" s="83"/>
      <c r="J29" s="83"/>
      <c r="K29" s="83"/>
      <c r="L29" s="83">
        <f>+$L18*G21</f>
        <v>0</v>
      </c>
      <c r="M29" s="123">
        <f t="shared" ref="M29:Y29" si="10">+$L18*H21</f>
        <v>0</v>
      </c>
      <c r="N29" s="123">
        <f t="shared" si="10"/>
        <v>0</v>
      </c>
      <c r="O29" s="123">
        <f t="shared" si="10"/>
        <v>0</v>
      </c>
      <c r="P29" s="123">
        <f t="shared" si="10"/>
        <v>0</v>
      </c>
      <c r="Q29" s="123">
        <f t="shared" si="10"/>
        <v>0</v>
      </c>
      <c r="R29" s="123">
        <f t="shared" si="10"/>
        <v>0</v>
      </c>
      <c r="S29" s="123">
        <f t="shared" si="10"/>
        <v>0</v>
      </c>
      <c r="T29" s="123">
        <f t="shared" si="10"/>
        <v>0</v>
      </c>
      <c r="U29" s="123">
        <f t="shared" si="10"/>
        <v>0</v>
      </c>
      <c r="V29" s="123">
        <f t="shared" si="10"/>
        <v>0</v>
      </c>
      <c r="W29" s="123">
        <f t="shared" si="10"/>
        <v>0</v>
      </c>
      <c r="X29" s="123">
        <f t="shared" si="10"/>
        <v>0</v>
      </c>
      <c r="Y29" s="123">
        <f t="shared" si="10"/>
        <v>0</v>
      </c>
    </row>
    <row r="30" spans="2:25" x14ac:dyDescent="0.2">
      <c r="C30" s="2">
        <f t="shared" si="5"/>
        <v>2023</v>
      </c>
      <c r="F30" s="83"/>
      <c r="G30" s="83"/>
      <c r="H30" s="83"/>
      <c r="I30" s="83"/>
      <c r="J30" s="83"/>
      <c r="K30" s="83"/>
      <c r="L30" s="83"/>
      <c r="M30" s="83">
        <f>+$M18*G21</f>
        <v>0</v>
      </c>
      <c r="N30" s="123">
        <f t="shared" ref="N30:Y30" si="11">+$M18*H21</f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  <c r="T30" s="123">
        <f t="shared" si="11"/>
        <v>0</v>
      </c>
      <c r="U30" s="123">
        <f t="shared" si="11"/>
        <v>0</v>
      </c>
      <c r="V30" s="123">
        <f t="shared" si="11"/>
        <v>0</v>
      </c>
      <c r="W30" s="123">
        <f t="shared" si="11"/>
        <v>0</v>
      </c>
      <c r="X30" s="123">
        <f t="shared" si="11"/>
        <v>0</v>
      </c>
      <c r="Y30" s="123">
        <f t="shared" si="11"/>
        <v>0</v>
      </c>
    </row>
    <row r="31" spans="2:25" x14ac:dyDescent="0.2">
      <c r="C31" s="2">
        <f t="shared" si="5"/>
        <v>2024</v>
      </c>
      <c r="F31" s="83"/>
      <c r="G31" s="83"/>
      <c r="H31" s="83"/>
      <c r="I31" s="83"/>
      <c r="J31" s="83"/>
      <c r="K31" s="83"/>
      <c r="L31" s="83"/>
      <c r="M31" s="83"/>
      <c r="N31" s="83">
        <f>+$N18*G21</f>
        <v>0</v>
      </c>
      <c r="O31" s="123">
        <f t="shared" ref="O31:Y31" si="12">+$N18*H21</f>
        <v>0</v>
      </c>
      <c r="P31" s="123">
        <f t="shared" si="12"/>
        <v>0</v>
      </c>
      <c r="Q31" s="123">
        <f t="shared" si="12"/>
        <v>0</v>
      </c>
      <c r="R31" s="123">
        <f t="shared" si="12"/>
        <v>0</v>
      </c>
      <c r="S31" s="123">
        <f t="shared" si="12"/>
        <v>0</v>
      </c>
      <c r="T31" s="123">
        <f t="shared" si="12"/>
        <v>0</v>
      </c>
      <c r="U31" s="123">
        <f t="shared" si="12"/>
        <v>0</v>
      </c>
      <c r="V31" s="123">
        <f t="shared" si="12"/>
        <v>0</v>
      </c>
      <c r="W31" s="123">
        <f t="shared" si="12"/>
        <v>0</v>
      </c>
      <c r="X31" s="123">
        <f t="shared" si="12"/>
        <v>0</v>
      </c>
      <c r="Y31" s="123">
        <f t="shared" si="12"/>
        <v>0</v>
      </c>
    </row>
    <row r="32" spans="2:25" x14ac:dyDescent="0.2">
      <c r="C32" s="2">
        <f t="shared" si="5"/>
        <v>2025</v>
      </c>
      <c r="F32" s="83"/>
      <c r="G32" s="83"/>
      <c r="H32" s="83"/>
      <c r="I32" s="83"/>
      <c r="J32" s="83"/>
      <c r="K32" s="83"/>
      <c r="L32" s="83"/>
      <c r="M32" s="83"/>
      <c r="N32" s="83"/>
      <c r="O32" s="83">
        <f>+$O18*G21</f>
        <v>0</v>
      </c>
      <c r="P32" s="123">
        <f t="shared" ref="P32:Y32" si="13">+$O18*H21</f>
        <v>0</v>
      </c>
      <c r="Q32" s="123">
        <f t="shared" si="13"/>
        <v>0</v>
      </c>
      <c r="R32" s="123">
        <f t="shared" si="13"/>
        <v>0</v>
      </c>
      <c r="S32" s="123">
        <f t="shared" si="13"/>
        <v>0</v>
      </c>
      <c r="T32" s="123">
        <f t="shared" si="13"/>
        <v>0</v>
      </c>
      <c r="U32" s="123">
        <f t="shared" si="13"/>
        <v>0</v>
      </c>
      <c r="V32" s="123">
        <f t="shared" si="13"/>
        <v>0</v>
      </c>
      <c r="W32" s="123">
        <f t="shared" si="13"/>
        <v>0</v>
      </c>
      <c r="X32" s="123">
        <f t="shared" si="13"/>
        <v>0</v>
      </c>
      <c r="Y32" s="123">
        <f t="shared" si="13"/>
        <v>0</v>
      </c>
    </row>
    <row r="33" spans="2:25" x14ac:dyDescent="0.2"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</row>
    <row r="34" spans="2:25" x14ac:dyDescent="0.2">
      <c r="B34" s="2" t="s">
        <v>98</v>
      </c>
      <c r="C34" s="83"/>
      <c r="D34" s="83"/>
      <c r="E34" s="83"/>
      <c r="F34" s="83">
        <f t="shared" ref="F34:Y34" si="14">SUM(F23:F32)</f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12800</v>
      </c>
      <c r="K34" s="83">
        <f t="shared" si="14"/>
        <v>25600</v>
      </c>
      <c r="L34" s="83">
        <f t="shared" si="14"/>
        <v>38400</v>
      </c>
      <c r="M34" s="83">
        <f t="shared" si="14"/>
        <v>48000</v>
      </c>
      <c r="N34" s="83">
        <f t="shared" si="14"/>
        <v>54400</v>
      </c>
      <c r="O34" s="83">
        <f t="shared" si="14"/>
        <v>60800</v>
      </c>
      <c r="P34" s="83">
        <f t="shared" si="14"/>
        <v>60800</v>
      </c>
      <c r="Q34" s="83">
        <f t="shared" si="14"/>
        <v>60800</v>
      </c>
      <c r="R34" s="83">
        <f t="shared" si="14"/>
        <v>60800</v>
      </c>
      <c r="S34" s="83">
        <f t="shared" si="14"/>
        <v>60800</v>
      </c>
      <c r="T34" s="83">
        <f t="shared" si="14"/>
        <v>60800</v>
      </c>
      <c r="U34" s="83">
        <f t="shared" si="14"/>
        <v>60800</v>
      </c>
      <c r="V34" s="83">
        <f t="shared" si="14"/>
        <v>60800</v>
      </c>
      <c r="W34" s="83">
        <f t="shared" si="14"/>
        <v>60800</v>
      </c>
      <c r="X34" s="83">
        <f t="shared" si="14"/>
        <v>60800</v>
      </c>
      <c r="Y34" s="83">
        <f t="shared" si="14"/>
        <v>60800</v>
      </c>
    </row>
    <row r="35" spans="2:25" x14ac:dyDescent="0.2"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2:25" x14ac:dyDescent="0.2">
      <c r="B36" s="2" t="s">
        <v>112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</row>
    <row r="37" spans="2:25" x14ac:dyDescent="0.2">
      <c r="B37" s="2" t="s">
        <v>113</v>
      </c>
      <c r="C37" s="83"/>
      <c r="D37" s="83"/>
      <c r="E37" s="83"/>
      <c r="F37" s="83"/>
      <c r="G37" s="83"/>
      <c r="H37" s="83">
        <f>+'Assumptions &amp; Costs'!$J30</f>
        <v>24.218333333333334</v>
      </c>
      <c r="I37" s="123">
        <f>+'Assumptions &amp; Costs'!$J31</f>
        <v>16.555</v>
      </c>
      <c r="J37" s="123">
        <f>+'Assumptions &amp; Costs'!$J32</f>
        <v>13.942499999999999</v>
      </c>
      <c r="K37" s="123">
        <f>+'Assumptions &amp; Costs'!$J33</f>
        <v>12.375</v>
      </c>
      <c r="L37" s="123">
        <f>+'Assumptions &amp; Costs'!$J34</f>
        <v>11.852499999999999</v>
      </c>
      <c r="M37" s="123">
        <f>+'Assumptions &amp; Costs'!$J35</f>
        <v>11.199375</v>
      </c>
      <c r="N37" s="123">
        <f>+'Assumptions &amp; Costs'!$J36</f>
        <v>9.7624999999999993</v>
      </c>
      <c r="O37" s="123">
        <f>+'Assumptions &amp; Costs'!$J37</f>
        <v>9.675416666666667</v>
      </c>
      <c r="P37" s="123">
        <f>+'Assumptions &amp; Costs'!$J38</f>
        <v>9.24</v>
      </c>
      <c r="Q37" s="123">
        <f>+'Assumptions &amp; Costs'!$J39</f>
        <v>9.5883333333333347</v>
      </c>
      <c r="R37" s="123">
        <f>+'Assumptions &amp; Costs'!$J40</f>
        <v>10.219687499999999</v>
      </c>
      <c r="S37" s="123">
        <f>+'Assumptions &amp; Costs'!$J41</f>
        <v>10.469411764705882</v>
      </c>
      <c r="T37" s="123">
        <f>+'Assumptions &amp; Costs'!$J42</f>
        <v>10.691388888888889</v>
      </c>
      <c r="U37" s="123">
        <f>+'Assumptions &amp; Costs'!$J43</f>
        <v>11.440000000000001</v>
      </c>
      <c r="V37" s="123">
        <f>+'Assumptions &amp; Costs'!$J44</f>
        <v>11.33</v>
      </c>
      <c r="W37" s="123">
        <f>+'Assumptions &amp; Costs'!$J45</f>
        <v>11.33</v>
      </c>
      <c r="X37" s="123">
        <f>+'Assumptions &amp; Costs'!$J46</f>
        <v>11.728095238095237</v>
      </c>
      <c r="Y37" s="123">
        <f>+'Assumptions &amp; Costs'!$J47</f>
        <v>11.728095238095237</v>
      </c>
    </row>
    <row r="38" spans="2:25" x14ac:dyDescent="0.2"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</row>
    <row r="39" spans="2:25" x14ac:dyDescent="0.2">
      <c r="B39" s="2" t="s">
        <v>111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</row>
    <row r="40" spans="2:25" x14ac:dyDescent="0.2">
      <c r="B40" s="2" t="s">
        <v>0</v>
      </c>
      <c r="C40" s="83"/>
      <c r="D40" s="83"/>
      <c r="E40" s="83"/>
      <c r="F40" s="83">
        <v>0</v>
      </c>
      <c r="G40" s="83">
        <v>0</v>
      </c>
      <c r="H40" s="83">
        <f>+(H23*H37)</f>
        <v>0</v>
      </c>
      <c r="I40" s="83">
        <f>+(I23*I37)+(I24*H37)</f>
        <v>0</v>
      </c>
      <c r="J40" s="83">
        <f>+(J23*J37)+(J24*H37)+(J25*H37)</f>
        <v>309994.66666666669</v>
      </c>
      <c r="K40" s="83">
        <f>+(K23*K37)+(K24*I37)+(K25*I37)+(K26*H37)</f>
        <v>423808</v>
      </c>
      <c r="L40" s="83">
        <f>+(L23*L37)+(L24*J37)+(L25*J37)+(L26*I37)+(L27*H37)</f>
        <v>535392</v>
      </c>
      <c r="M40" s="123">
        <f>+(M23*M37)+(M24*K37)+(M25*K37)+(M26*J37)+(M27*I37)</f>
        <v>594000</v>
      </c>
      <c r="N40" s="123">
        <f>+(N23*N37)+(N24*L37)+(N25*L37)+(N26*K37)+(N27*J37)</f>
        <v>644776</v>
      </c>
      <c r="O40" s="123">
        <f t="shared" ref="O40:Y40" si="15">+(O23*O37)+(O24*M37)+(O25*M37)+(O26*L37)+(O27*K37)</f>
        <v>680922</v>
      </c>
      <c r="P40" s="123">
        <f t="shared" si="15"/>
        <v>593560</v>
      </c>
      <c r="Q40" s="123">
        <f t="shared" si="15"/>
        <v>588265.33333333337</v>
      </c>
      <c r="R40" s="123">
        <f t="shared" si="15"/>
        <v>561792</v>
      </c>
      <c r="S40" s="123">
        <f t="shared" si="15"/>
        <v>582970.66666666674</v>
      </c>
      <c r="T40" s="123">
        <f t="shared" si="15"/>
        <v>621357</v>
      </c>
      <c r="U40" s="123">
        <f t="shared" si="15"/>
        <v>636540.23529411759</v>
      </c>
      <c r="V40" s="123">
        <f t="shared" si="15"/>
        <v>650036.4444444445</v>
      </c>
      <c r="W40" s="123">
        <f t="shared" si="15"/>
        <v>695552.00000000012</v>
      </c>
      <c r="X40" s="123">
        <f t="shared" si="15"/>
        <v>688864</v>
      </c>
      <c r="Y40" s="123">
        <f t="shared" si="15"/>
        <v>688864</v>
      </c>
    </row>
    <row r="41" spans="2:25" x14ac:dyDescent="0.2">
      <c r="B41" s="2" t="s">
        <v>106</v>
      </c>
      <c r="C41" s="43">
        <f>+'Assumptions &amp; Costs'!D59+'Assumptions &amp; Costs'!D60</f>
        <v>0</v>
      </c>
      <c r="D41" s="43"/>
      <c r="E41" s="43"/>
      <c r="F41" s="83">
        <f>+F40*$C41</f>
        <v>0</v>
      </c>
      <c r="G41" s="83">
        <f t="shared" ref="G41:Y41" si="16">+G40*$C41</f>
        <v>0</v>
      </c>
      <c r="H41" s="83">
        <f t="shared" si="16"/>
        <v>0</v>
      </c>
      <c r="I41" s="83">
        <f t="shared" si="16"/>
        <v>0</v>
      </c>
      <c r="J41" s="83">
        <f t="shared" si="16"/>
        <v>0</v>
      </c>
      <c r="K41" s="83">
        <f t="shared" si="16"/>
        <v>0</v>
      </c>
      <c r="L41" s="83">
        <f t="shared" si="16"/>
        <v>0</v>
      </c>
      <c r="M41" s="83">
        <f t="shared" si="16"/>
        <v>0</v>
      </c>
      <c r="N41" s="83">
        <f t="shared" si="16"/>
        <v>0</v>
      </c>
      <c r="O41" s="83">
        <f t="shared" si="16"/>
        <v>0</v>
      </c>
      <c r="P41" s="83">
        <f t="shared" si="16"/>
        <v>0</v>
      </c>
      <c r="Q41" s="83">
        <f t="shared" si="16"/>
        <v>0</v>
      </c>
      <c r="R41" s="83">
        <f t="shared" si="16"/>
        <v>0</v>
      </c>
      <c r="S41" s="83">
        <f t="shared" si="16"/>
        <v>0</v>
      </c>
      <c r="T41" s="83">
        <f t="shared" si="16"/>
        <v>0</v>
      </c>
      <c r="U41" s="83">
        <f t="shared" si="16"/>
        <v>0</v>
      </c>
      <c r="V41" s="83">
        <f t="shared" si="16"/>
        <v>0</v>
      </c>
      <c r="W41" s="83">
        <f t="shared" si="16"/>
        <v>0</v>
      </c>
      <c r="X41" s="83">
        <f t="shared" si="16"/>
        <v>0</v>
      </c>
      <c r="Y41" s="83">
        <f t="shared" si="16"/>
        <v>0</v>
      </c>
    </row>
    <row r="42" spans="2:25" x14ac:dyDescent="0.2">
      <c r="B42" s="2" t="s">
        <v>107</v>
      </c>
      <c r="C42" s="185">
        <f>+'Assumptions &amp; Costs'!D58</f>
        <v>0.25</v>
      </c>
      <c r="D42" s="83" t="s">
        <v>466</v>
      </c>
      <c r="E42" s="83"/>
      <c r="F42" s="83">
        <f t="shared" ref="F42:Y42" si="17">SUM(F34)*$C42</f>
        <v>0</v>
      </c>
      <c r="G42" s="83">
        <f t="shared" si="17"/>
        <v>0</v>
      </c>
      <c r="H42" s="83">
        <f t="shared" si="17"/>
        <v>0</v>
      </c>
      <c r="I42" s="83">
        <f t="shared" si="17"/>
        <v>0</v>
      </c>
      <c r="J42" s="83">
        <f t="shared" si="17"/>
        <v>3200</v>
      </c>
      <c r="K42" s="83">
        <f t="shared" si="17"/>
        <v>6400</v>
      </c>
      <c r="L42" s="83">
        <f t="shared" si="17"/>
        <v>9600</v>
      </c>
      <c r="M42" s="83">
        <f t="shared" si="17"/>
        <v>12000</v>
      </c>
      <c r="N42" s="83">
        <f t="shared" si="17"/>
        <v>13600</v>
      </c>
      <c r="O42" s="83">
        <f t="shared" si="17"/>
        <v>15200</v>
      </c>
      <c r="P42" s="83">
        <f t="shared" si="17"/>
        <v>15200</v>
      </c>
      <c r="Q42" s="83">
        <f t="shared" si="17"/>
        <v>15200</v>
      </c>
      <c r="R42" s="83">
        <f t="shared" si="17"/>
        <v>15200</v>
      </c>
      <c r="S42" s="83">
        <f t="shared" si="17"/>
        <v>15200</v>
      </c>
      <c r="T42" s="83">
        <f t="shared" si="17"/>
        <v>15200</v>
      </c>
      <c r="U42" s="83">
        <f t="shared" si="17"/>
        <v>15200</v>
      </c>
      <c r="V42" s="83">
        <f t="shared" si="17"/>
        <v>15200</v>
      </c>
      <c r="W42" s="83">
        <f t="shared" si="17"/>
        <v>15200</v>
      </c>
      <c r="X42" s="83">
        <f t="shared" si="17"/>
        <v>15200</v>
      </c>
      <c r="Y42" s="83">
        <f t="shared" si="17"/>
        <v>15200</v>
      </c>
    </row>
    <row r="43" spans="2:25" x14ac:dyDescent="0.2">
      <c r="B43" s="2" t="s">
        <v>203</v>
      </c>
      <c r="C43" s="82">
        <f>+'Assumptions &amp; Costs'!D57</f>
        <v>17</v>
      </c>
      <c r="D43" s="83" t="s">
        <v>466</v>
      </c>
      <c r="E43" s="83"/>
      <c r="F43" s="83">
        <f t="shared" ref="F43:Y43" si="18">+F34*$C43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217600</v>
      </c>
      <c r="K43" s="83">
        <f t="shared" si="18"/>
        <v>435200</v>
      </c>
      <c r="L43" s="83">
        <f t="shared" si="18"/>
        <v>652800</v>
      </c>
      <c r="M43" s="83">
        <f t="shared" si="18"/>
        <v>816000</v>
      </c>
      <c r="N43" s="83">
        <f t="shared" si="18"/>
        <v>924800</v>
      </c>
      <c r="O43" s="83">
        <f t="shared" si="18"/>
        <v>1033600</v>
      </c>
      <c r="P43" s="83">
        <f t="shared" si="18"/>
        <v>1033600</v>
      </c>
      <c r="Q43" s="83">
        <f t="shared" si="18"/>
        <v>1033600</v>
      </c>
      <c r="R43" s="83">
        <f t="shared" si="18"/>
        <v>1033600</v>
      </c>
      <c r="S43" s="83">
        <f t="shared" si="18"/>
        <v>1033600</v>
      </c>
      <c r="T43" s="83">
        <f t="shared" si="18"/>
        <v>1033600</v>
      </c>
      <c r="U43" s="83">
        <f t="shared" si="18"/>
        <v>1033600</v>
      </c>
      <c r="V43" s="83">
        <f t="shared" si="18"/>
        <v>1033600</v>
      </c>
      <c r="W43" s="83">
        <f t="shared" si="18"/>
        <v>1033600</v>
      </c>
      <c r="X43" s="83">
        <f t="shared" si="18"/>
        <v>1033600</v>
      </c>
      <c r="Y43" s="83">
        <f t="shared" si="18"/>
        <v>1033600</v>
      </c>
    </row>
    <row r="44" spans="2:25" x14ac:dyDescent="0.2">
      <c r="B44" s="2" t="s">
        <v>467</v>
      </c>
      <c r="C44" s="83"/>
      <c r="D44" s="83"/>
      <c r="E44" s="83"/>
      <c r="F44" s="83">
        <f>SUM(F40:F43)</f>
        <v>0</v>
      </c>
      <c r="G44" s="83">
        <f t="shared" ref="G44:Y44" si="19">SUM(G40:G43)</f>
        <v>0</v>
      </c>
      <c r="H44" s="83">
        <f t="shared" si="19"/>
        <v>0</v>
      </c>
      <c r="I44" s="83">
        <f t="shared" si="19"/>
        <v>0</v>
      </c>
      <c r="J44" s="83">
        <f t="shared" si="19"/>
        <v>530794.66666666674</v>
      </c>
      <c r="K44" s="83">
        <f t="shared" si="19"/>
        <v>865408</v>
      </c>
      <c r="L44" s="83">
        <f t="shared" si="19"/>
        <v>1197792</v>
      </c>
      <c r="M44" s="83">
        <f t="shared" si="19"/>
        <v>1422000</v>
      </c>
      <c r="N44" s="83">
        <f t="shared" si="19"/>
        <v>1583176</v>
      </c>
      <c r="O44" s="83">
        <f t="shared" si="19"/>
        <v>1729722</v>
      </c>
      <c r="P44" s="83">
        <f t="shared" si="19"/>
        <v>1642360</v>
      </c>
      <c r="Q44" s="83">
        <f t="shared" si="19"/>
        <v>1637065.3333333335</v>
      </c>
      <c r="R44" s="83">
        <f t="shared" si="19"/>
        <v>1610592</v>
      </c>
      <c r="S44" s="83">
        <f t="shared" si="19"/>
        <v>1631770.6666666667</v>
      </c>
      <c r="T44" s="83">
        <f t="shared" si="19"/>
        <v>1670157</v>
      </c>
      <c r="U44" s="83">
        <f t="shared" si="19"/>
        <v>1685340.2352941176</v>
      </c>
      <c r="V44" s="83">
        <f t="shared" si="19"/>
        <v>1698836.4444444445</v>
      </c>
      <c r="W44" s="83">
        <f t="shared" si="19"/>
        <v>1744352</v>
      </c>
      <c r="X44" s="83">
        <f t="shared" si="19"/>
        <v>1737664</v>
      </c>
      <c r="Y44" s="83">
        <f t="shared" si="19"/>
        <v>1737664</v>
      </c>
    </row>
    <row r="45" spans="2:25" x14ac:dyDescent="0.2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</row>
    <row r="46" spans="2:25" x14ac:dyDescent="0.2">
      <c r="B46" s="1" t="s">
        <v>100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2:25" s="129" customFormat="1" x14ac:dyDescent="0.2">
      <c r="B47" s="1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2:25" x14ac:dyDescent="0.2">
      <c r="B48" s="1" t="s">
        <v>108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2:25" x14ac:dyDescent="0.2">
      <c r="B49" s="1" t="s">
        <v>0</v>
      </c>
      <c r="C49" s="75" t="s">
        <v>229</v>
      </c>
      <c r="D49" s="75" t="s">
        <v>230</v>
      </c>
      <c r="E49" s="75" t="s">
        <v>460</v>
      </c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2:25" x14ac:dyDescent="0.2">
      <c r="B50" s="2" t="s">
        <v>59</v>
      </c>
      <c r="C50" s="79">
        <f>+'Inputs Field'!D33</f>
        <v>5</v>
      </c>
      <c r="D50" s="34">
        <f>+'Inputs Field'!F33</f>
        <v>1</v>
      </c>
      <c r="E50" s="34">
        <f>+C50*D50*'Assumptions &amp; Costs'!E$76*(1+'Assumptions &amp; Costs'!C$81)</f>
        <v>28.737499999999997</v>
      </c>
      <c r="F50" s="83">
        <f t="shared" ref="F50:F66" si="20">+$E50*F$18</f>
        <v>0</v>
      </c>
      <c r="G50" s="83">
        <f t="shared" ref="G50:Y62" si="21">+$E50*G$18</f>
        <v>91959.999999999985</v>
      </c>
      <c r="H50" s="83">
        <f t="shared" si="21"/>
        <v>0</v>
      </c>
      <c r="I50" s="83">
        <f t="shared" si="21"/>
        <v>0</v>
      </c>
      <c r="J50" s="83">
        <f t="shared" si="21"/>
        <v>0</v>
      </c>
      <c r="K50" s="83">
        <f t="shared" si="21"/>
        <v>0</v>
      </c>
      <c r="L50" s="83">
        <f t="shared" si="21"/>
        <v>0</v>
      </c>
      <c r="M50" s="83">
        <f t="shared" si="21"/>
        <v>0</v>
      </c>
      <c r="N50" s="83">
        <f t="shared" si="21"/>
        <v>0</v>
      </c>
      <c r="O50" s="83">
        <f t="shared" si="21"/>
        <v>0</v>
      </c>
      <c r="P50" s="83">
        <f t="shared" si="21"/>
        <v>0</v>
      </c>
      <c r="Q50" s="83">
        <f t="shared" si="21"/>
        <v>0</v>
      </c>
      <c r="R50" s="83">
        <f t="shared" si="21"/>
        <v>0</v>
      </c>
      <c r="S50" s="83">
        <f t="shared" si="21"/>
        <v>0</v>
      </c>
      <c r="T50" s="83">
        <f t="shared" si="21"/>
        <v>0</v>
      </c>
      <c r="U50" s="83">
        <f t="shared" si="21"/>
        <v>0</v>
      </c>
      <c r="V50" s="83">
        <f t="shared" si="21"/>
        <v>0</v>
      </c>
      <c r="W50" s="83">
        <f t="shared" si="21"/>
        <v>0</v>
      </c>
      <c r="X50" s="83">
        <f t="shared" si="21"/>
        <v>0</v>
      </c>
      <c r="Y50" s="83">
        <f t="shared" si="21"/>
        <v>0</v>
      </c>
    </row>
    <row r="51" spans="2:25" x14ac:dyDescent="0.2">
      <c r="B51" s="2" t="s">
        <v>65</v>
      </c>
      <c r="C51" s="79">
        <f>+'Inputs Field'!D36</f>
        <v>1</v>
      </c>
      <c r="D51" s="34">
        <f>+'Inputs Field'!F36</f>
        <v>1</v>
      </c>
      <c r="E51" s="34">
        <f>+C51*D51*'Assumptions &amp; Costs'!E$76*(1+'Assumptions &amp; Costs'!C$81)</f>
        <v>5.7474999999999996</v>
      </c>
      <c r="F51" s="83">
        <f t="shared" si="20"/>
        <v>0</v>
      </c>
      <c r="G51" s="83">
        <f t="shared" si="21"/>
        <v>18392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>
        <f t="shared" si="21"/>
        <v>0</v>
      </c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0</v>
      </c>
      <c r="W51" s="83">
        <f t="shared" si="21"/>
        <v>0</v>
      </c>
      <c r="X51" s="83">
        <f t="shared" si="21"/>
        <v>0</v>
      </c>
      <c r="Y51" s="83">
        <f t="shared" si="21"/>
        <v>0</v>
      </c>
    </row>
    <row r="52" spans="2:25" x14ac:dyDescent="0.2">
      <c r="B52" s="2" t="s">
        <v>64</v>
      </c>
      <c r="C52" s="79">
        <f>+'Inputs Field'!D40</f>
        <v>8</v>
      </c>
      <c r="D52" s="34">
        <f>+'Inputs Field'!F40</f>
        <v>1</v>
      </c>
      <c r="E52" s="34">
        <f>+C52*D52*'Assumptions &amp; Costs'!E$76*(1+'Assumptions &amp; Costs'!C$81)</f>
        <v>45.98</v>
      </c>
      <c r="F52" s="83">
        <f t="shared" si="20"/>
        <v>0</v>
      </c>
      <c r="G52" s="83">
        <f t="shared" si="21"/>
        <v>147136</v>
      </c>
      <c r="H52" s="83">
        <f t="shared" si="21"/>
        <v>0</v>
      </c>
      <c r="I52" s="83">
        <f t="shared" si="21"/>
        <v>0</v>
      </c>
      <c r="J52" s="83">
        <f t="shared" si="21"/>
        <v>0</v>
      </c>
      <c r="K52" s="83">
        <f t="shared" si="21"/>
        <v>0</v>
      </c>
      <c r="L52" s="83">
        <f t="shared" si="21"/>
        <v>0</v>
      </c>
      <c r="M52" s="83">
        <f t="shared" si="21"/>
        <v>0</v>
      </c>
      <c r="N52" s="83">
        <f t="shared" si="21"/>
        <v>0</v>
      </c>
      <c r="O52" s="83">
        <f t="shared" si="21"/>
        <v>0</v>
      </c>
      <c r="P52" s="83">
        <f t="shared" si="21"/>
        <v>0</v>
      </c>
      <c r="Q52" s="83">
        <f t="shared" si="21"/>
        <v>0</v>
      </c>
      <c r="R52" s="83">
        <f t="shared" si="21"/>
        <v>0</v>
      </c>
      <c r="S52" s="83">
        <f t="shared" si="21"/>
        <v>0</v>
      </c>
      <c r="T52" s="83">
        <f t="shared" si="21"/>
        <v>0</v>
      </c>
      <c r="U52" s="83">
        <f t="shared" si="21"/>
        <v>0</v>
      </c>
      <c r="V52" s="83">
        <f t="shared" si="21"/>
        <v>0</v>
      </c>
      <c r="W52" s="83">
        <f t="shared" si="21"/>
        <v>0</v>
      </c>
      <c r="X52" s="83">
        <f t="shared" si="21"/>
        <v>0</v>
      </c>
      <c r="Y52" s="83">
        <f t="shared" si="21"/>
        <v>0</v>
      </c>
    </row>
    <row r="53" spans="2:25" x14ac:dyDescent="0.2">
      <c r="B53" s="2" t="s">
        <v>18</v>
      </c>
      <c r="C53" s="79">
        <f>+'Inputs Field'!D41</f>
        <v>2</v>
      </c>
      <c r="D53" s="34">
        <f>+'Inputs Field'!F41</f>
        <v>1</v>
      </c>
      <c r="E53" s="34">
        <f>+C53*D53*'Assumptions &amp; Costs'!E$76*(1+'Assumptions &amp; Costs'!C$81)</f>
        <v>11.494999999999999</v>
      </c>
      <c r="F53" s="83">
        <f t="shared" si="20"/>
        <v>0</v>
      </c>
      <c r="G53" s="83">
        <f t="shared" si="21"/>
        <v>36784</v>
      </c>
      <c r="H53" s="83">
        <f t="shared" si="21"/>
        <v>0</v>
      </c>
      <c r="I53" s="83">
        <f t="shared" si="21"/>
        <v>0</v>
      </c>
      <c r="J53" s="83">
        <f t="shared" si="21"/>
        <v>0</v>
      </c>
      <c r="K53" s="83">
        <f t="shared" si="21"/>
        <v>0</v>
      </c>
      <c r="L53" s="83">
        <f t="shared" si="21"/>
        <v>0</v>
      </c>
      <c r="M53" s="83">
        <f t="shared" si="21"/>
        <v>0</v>
      </c>
      <c r="N53" s="83">
        <f t="shared" si="21"/>
        <v>0</v>
      </c>
      <c r="O53" s="83">
        <f t="shared" si="21"/>
        <v>0</v>
      </c>
      <c r="P53" s="83">
        <f t="shared" si="21"/>
        <v>0</v>
      </c>
      <c r="Q53" s="83">
        <f t="shared" si="21"/>
        <v>0</v>
      </c>
      <c r="R53" s="83">
        <f t="shared" si="21"/>
        <v>0</v>
      </c>
      <c r="S53" s="83">
        <f t="shared" si="21"/>
        <v>0</v>
      </c>
      <c r="T53" s="83">
        <f t="shared" si="21"/>
        <v>0</v>
      </c>
      <c r="U53" s="83">
        <f t="shared" si="21"/>
        <v>0</v>
      </c>
      <c r="V53" s="83">
        <f t="shared" si="21"/>
        <v>0</v>
      </c>
      <c r="W53" s="83">
        <f t="shared" si="21"/>
        <v>0</v>
      </c>
      <c r="X53" s="83">
        <f t="shared" si="21"/>
        <v>0</v>
      </c>
      <c r="Y53" s="83">
        <f t="shared" si="21"/>
        <v>0</v>
      </c>
    </row>
    <row r="54" spans="2:25" x14ac:dyDescent="0.2">
      <c r="B54" s="2" t="s">
        <v>69</v>
      </c>
      <c r="C54" s="79">
        <f>+'Inputs Field'!D42</f>
        <v>2</v>
      </c>
      <c r="D54" s="34">
        <f>+'Inputs Field'!F42</f>
        <v>1</v>
      </c>
      <c r="E54" s="34">
        <f>+C54*D54*'Assumptions &amp; Costs'!E$76*(1+'Assumptions &amp; Costs'!C$81)</f>
        <v>11.494999999999999</v>
      </c>
      <c r="F54" s="83">
        <f t="shared" si="20"/>
        <v>0</v>
      </c>
      <c r="G54" s="83">
        <f t="shared" si="21"/>
        <v>36784</v>
      </c>
      <c r="H54" s="83">
        <f t="shared" si="21"/>
        <v>0</v>
      </c>
      <c r="I54" s="83">
        <f t="shared" si="21"/>
        <v>0</v>
      </c>
      <c r="J54" s="83">
        <f t="shared" si="21"/>
        <v>0</v>
      </c>
      <c r="K54" s="83">
        <f t="shared" si="21"/>
        <v>0</v>
      </c>
      <c r="L54" s="83">
        <f t="shared" si="21"/>
        <v>0</v>
      </c>
      <c r="M54" s="83">
        <f t="shared" si="21"/>
        <v>0</v>
      </c>
      <c r="N54" s="83">
        <f t="shared" si="21"/>
        <v>0</v>
      </c>
      <c r="O54" s="83">
        <f t="shared" si="21"/>
        <v>0</v>
      </c>
      <c r="P54" s="83">
        <f t="shared" si="21"/>
        <v>0</v>
      </c>
      <c r="Q54" s="83">
        <f t="shared" si="21"/>
        <v>0</v>
      </c>
      <c r="R54" s="83">
        <f t="shared" si="21"/>
        <v>0</v>
      </c>
      <c r="S54" s="83">
        <f t="shared" si="21"/>
        <v>0</v>
      </c>
      <c r="T54" s="83">
        <f t="shared" si="21"/>
        <v>0</v>
      </c>
      <c r="U54" s="83">
        <f t="shared" si="21"/>
        <v>0</v>
      </c>
      <c r="V54" s="83">
        <f t="shared" si="21"/>
        <v>0</v>
      </c>
      <c r="W54" s="83">
        <f t="shared" si="21"/>
        <v>0</v>
      </c>
      <c r="X54" s="83">
        <f t="shared" si="21"/>
        <v>0</v>
      </c>
      <c r="Y54" s="83">
        <f t="shared" si="21"/>
        <v>0</v>
      </c>
    </row>
    <row r="55" spans="2:25" x14ac:dyDescent="0.2">
      <c r="B55" s="2" t="s">
        <v>71</v>
      </c>
      <c r="C55" s="79">
        <f>+'Inputs Field'!D43</f>
        <v>10</v>
      </c>
      <c r="D55" s="34">
        <f>+'Inputs Field'!F43</f>
        <v>1</v>
      </c>
      <c r="E55" s="34">
        <f>+C55*D55*'Assumptions &amp; Costs'!E$76*(1+'Assumptions &amp; Costs'!C$81)</f>
        <v>57.474999999999994</v>
      </c>
      <c r="F55" s="83">
        <f t="shared" si="20"/>
        <v>0</v>
      </c>
      <c r="G55" s="83">
        <f t="shared" si="21"/>
        <v>183919.99999999997</v>
      </c>
      <c r="H55" s="83">
        <f t="shared" si="21"/>
        <v>0</v>
      </c>
      <c r="I55" s="83">
        <f t="shared" si="21"/>
        <v>0</v>
      </c>
      <c r="J55" s="83">
        <f t="shared" si="21"/>
        <v>0</v>
      </c>
      <c r="K55" s="83">
        <f t="shared" si="21"/>
        <v>0</v>
      </c>
      <c r="L55" s="83">
        <f t="shared" si="21"/>
        <v>0</v>
      </c>
      <c r="M55" s="83">
        <f t="shared" si="21"/>
        <v>0</v>
      </c>
      <c r="N55" s="83">
        <f t="shared" si="21"/>
        <v>0</v>
      </c>
      <c r="O55" s="83">
        <f t="shared" si="21"/>
        <v>0</v>
      </c>
      <c r="P55" s="83">
        <f t="shared" si="21"/>
        <v>0</v>
      </c>
      <c r="Q55" s="83">
        <f t="shared" si="21"/>
        <v>0</v>
      </c>
      <c r="R55" s="83">
        <f t="shared" si="21"/>
        <v>0</v>
      </c>
      <c r="S55" s="83">
        <f t="shared" si="21"/>
        <v>0</v>
      </c>
      <c r="T55" s="83">
        <f t="shared" si="21"/>
        <v>0</v>
      </c>
      <c r="U55" s="83">
        <f t="shared" si="21"/>
        <v>0</v>
      </c>
      <c r="V55" s="83">
        <f t="shared" si="21"/>
        <v>0</v>
      </c>
      <c r="W55" s="83">
        <f t="shared" si="21"/>
        <v>0</v>
      </c>
      <c r="X55" s="83">
        <f t="shared" si="21"/>
        <v>0</v>
      </c>
      <c r="Y55" s="83">
        <f t="shared" si="21"/>
        <v>0</v>
      </c>
    </row>
    <row r="56" spans="2:25" x14ac:dyDescent="0.2">
      <c r="B56" s="2" t="s">
        <v>68</v>
      </c>
      <c r="C56" s="79">
        <f>+'Inputs Field'!D47</f>
        <v>6</v>
      </c>
      <c r="D56" s="34">
        <f>+'Inputs Field'!F47</f>
        <v>6</v>
      </c>
      <c r="E56" s="34">
        <f>+C56*D56*'Assumptions &amp; Costs'!E$76*(1+'Assumptions &amp; Costs'!C$81)</f>
        <v>206.91</v>
      </c>
      <c r="F56" s="83">
        <f t="shared" si="20"/>
        <v>0</v>
      </c>
      <c r="G56" s="83">
        <f t="shared" si="21"/>
        <v>662112</v>
      </c>
      <c r="H56" s="83">
        <f t="shared" si="21"/>
        <v>0</v>
      </c>
      <c r="I56" s="83">
        <f t="shared" si="21"/>
        <v>0</v>
      </c>
      <c r="J56" s="83">
        <f t="shared" si="21"/>
        <v>0</v>
      </c>
      <c r="K56" s="83">
        <f t="shared" si="21"/>
        <v>0</v>
      </c>
      <c r="L56" s="83">
        <f t="shared" si="21"/>
        <v>0</v>
      </c>
      <c r="M56" s="83">
        <f t="shared" si="21"/>
        <v>0</v>
      </c>
      <c r="N56" s="83">
        <f t="shared" si="21"/>
        <v>0</v>
      </c>
      <c r="O56" s="83">
        <f t="shared" si="21"/>
        <v>0</v>
      </c>
      <c r="P56" s="83">
        <f t="shared" si="21"/>
        <v>0</v>
      </c>
      <c r="Q56" s="83">
        <f t="shared" si="21"/>
        <v>0</v>
      </c>
      <c r="R56" s="83">
        <f t="shared" si="21"/>
        <v>0</v>
      </c>
      <c r="S56" s="83">
        <f t="shared" si="21"/>
        <v>0</v>
      </c>
      <c r="T56" s="83">
        <f t="shared" si="21"/>
        <v>0</v>
      </c>
      <c r="U56" s="83">
        <f t="shared" si="21"/>
        <v>0</v>
      </c>
      <c r="V56" s="83">
        <f t="shared" si="21"/>
        <v>0</v>
      </c>
      <c r="W56" s="83">
        <f t="shared" si="21"/>
        <v>0</v>
      </c>
      <c r="X56" s="83">
        <f t="shared" si="21"/>
        <v>0</v>
      </c>
      <c r="Y56" s="83">
        <f t="shared" si="21"/>
        <v>0</v>
      </c>
    </row>
    <row r="57" spans="2:25" x14ac:dyDescent="0.2">
      <c r="B57" s="2" t="s">
        <v>24</v>
      </c>
      <c r="C57" s="79">
        <f>+'Inputs Field'!D48</f>
        <v>0.5</v>
      </c>
      <c r="D57" s="34">
        <f>+'Inputs Field'!F48</f>
        <v>6</v>
      </c>
      <c r="E57" s="34">
        <f>+C57*D57*'Assumptions &amp; Costs'!E$75*(1+'Assumptions &amp; Costs'!C$81)</f>
        <v>18.809999999999999</v>
      </c>
      <c r="F57" s="83">
        <f t="shared" si="20"/>
        <v>0</v>
      </c>
      <c r="G57" s="83">
        <f t="shared" si="21"/>
        <v>60191.999999999993</v>
      </c>
      <c r="H57" s="83">
        <f t="shared" si="21"/>
        <v>0</v>
      </c>
      <c r="I57" s="83">
        <f t="shared" si="21"/>
        <v>0</v>
      </c>
      <c r="J57" s="83">
        <f t="shared" si="21"/>
        <v>0</v>
      </c>
      <c r="K57" s="83">
        <f t="shared" si="21"/>
        <v>0</v>
      </c>
      <c r="L57" s="83">
        <f t="shared" si="21"/>
        <v>0</v>
      </c>
      <c r="M57" s="83">
        <f t="shared" si="21"/>
        <v>0</v>
      </c>
      <c r="N57" s="83">
        <f t="shared" si="21"/>
        <v>0</v>
      </c>
      <c r="O57" s="83">
        <f t="shared" si="21"/>
        <v>0</v>
      </c>
      <c r="P57" s="83">
        <f t="shared" si="21"/>
        <v>0</v>
      </c>
      <c r="Q57" s="83">
        <f t="shared" si="21"/>
        <v>0</v>
      </c>
      <c r="R57" s="83">
        <f t="shared" si="21"/>
        <v>0</v>
      </c>
      <c r="S57" s="83">
        <f t="shared" si="21"/>
        <v>0</v>
      </c>
      <c r="T57" s="83">
        <f t="shared" si="21"/>
        <v>0</v>
      </c>
      <c r="U57" s="83">
        <f t="shared" si="21"/>
        <v>0</v>
      </c>
      <c r="V57" s="83">
        <f t="shared" si="21"/>
        <v>0</v>
      </c>
      <c r="W57" s="83">
        <f t="shared" si="21"/>
        <v>0</v>
      </c>
      <c r="X57" s="83">
        <f t="shared" si="21"/>
        <v>0</v>
      </c>
      <c r="Y57" s="83">
        <f t="shared" si="21"/>
        <v>0</v>
      </c>
    </row>
    <row r="58" spans="2:25" x14ac:dyDescent="0.2">
      <c r="B58" s="2" t="s">
        <v>23</v>
      </c>
      <c r="C58" s="79">
        <f>+'Inputs Field'!D49</f>
        <v>4</v>
      </c>
      <c r="D58" s="34">
        <f>+'Inputs Field'!F49</f>
        <v>6</v>
      </c>
      <c r="E58" s="34">
        <f>+C58*D58*'Assumptions &amp; Costs'!E$76*(1+'Assumptions &amp; Costs'!C$81)</f>
        <v>137.94</v>
      </c>
      <c r="F58" s="83">
        <f t="shared" si="20"/>
        <v>0</v>
      </c>
      <c r="G58" s="83">
        <f t="shared" si="21"/>
        <v>441408</v>
      </c>
      <c r="H58" s="83">
        <f t="shared" si="21"/>
        <v>0</v>
      </c>
      <c r="I58" s="83">
        <f t="shared" si="21"/>
        <v>0</v>
      </c>
      <c r="J58" s="83">
        <f t="shared" si="21"/>
        <v>0</v>
      </c>
      <c r="K58" s="83">
        <f t="shared" si="21"/>
        <v>0</v>
      </c>
      <c r="L58" s="83">
        <f t="shared" si="21"/>
        <v>0</v>
      </c>
      <c r="M58" s="83">
        <f t="shared" si="21"/>
        <v>0</v>
      </c>
      <c r="N58" s="83">
        <f t="shared" si="21"/>
        <v>0</v>
      </c>
      <c r="O58" s="83">
        <f t="shared" si="21"/>
        <v>0</v>
      </c>
      <c r="P58" s="83">
        <f t="shared" si="21"/>
        <v>0</v>
      </c>
      <c r="Q58" s="83">
        <f t="shared" si="21"/>
        <v>0</v>
      </c>
      <c r="R58" s="83">
        <f t="shared" si="21"/>
        <v>0</v>
      </c>
      <c r="S58" s="83">
        <f t="shared" si="21"/>
        <v>0</v>
      </c>
      <c r="T58" s="83">
        <f t="shared" si="21"/>
        <v>0</v>
      </c>
      <c r="U58" s="83">
        <f t="shared" si="21"/>
        <v>0</v>
      </c>
      <c r="V58" s="83">
        <f t="shared" si="21"/>
        <v>0</v>
      </c>
      <c r="W58" s="83">
        <f t="shared" si="21"/>
        <v>0</v>
      </c>
      <c r="X58" s="83">
        <f t="shared" si="21"/>
        <v>0</v>
      </c>
      <c r="Y58" s="83">
        <f t="shared" si="21"/>
        <v>0</v>
      </c>
    </row>
    <row r="59" spans="2:25" x14ac:dyDescent="0.2">
      <c r="B59" s="2" t="s">
        <v>13</v>
      </c>
      <c r="C59" s="79">
        <f>+'Inputs Field'!D50</f>
        <v>1</v>
      </c>
      <c r="D59" s="34">
        <f>+'Inputs Field'!F50</f>
        <v>2</v>
      </c>
      <c r="E59" s="34">
        <f>+C59*D59*'Assumptions &amp; Costs'!E$76*(1+'Assumptions &amp; Costs'!C$81)</f>
        <v>11.494999999999999</v>
      </c>
      <c r="F59" s="83">
        <f t="shared" si="20"/>
        <v>0</v>
      </c>
      <c r="G59" s="83">
        <f t="shared" si="21"/>
        <v>36784</v>
      </c>
      <c r="H59" s="83">
        <f t="shared" si="21"/>
        <v>0</v>
      </c>
      <c r="I59" s="83">
        <f t="shared" si="21"/>
        <v>0</v>
      </c>
      <c r="J59" s="83">
        <f t="shared" si="21"/>
        <v>0</v>
      </c>
      <c r="K59" s="83">
        <f t="shared" si="21"/>
        <v>0</v>
      </c>
      <c r="L59" s="83">
        <f t="shared" si="21"/>
        <v>0</v>
      </c>
      <c r="M59" s="83">
        <f t="shared" si="21"/>
        <v>0</v>
      </c>
      <c r="N59" s="83">
        <f t="shared" si="21"/>
        <v>0</v>
      </c>
      <c r="O59" s="83">
        <f t="shared" si="21"/>
        <v>0</v>
      </c>
      <c r="P59" s="83">
        <f t="shared" si="21"/>
        <v>0</v>
      </c>
      <c r="Q59" s="83">
        <f t="shared" si="21"/>
        <v>0</v>
      </c>
      <c r="R59" s="83">
        <f t="shared" si="21"/>
        <v>0</v>
      </c>
      <c r="S59" s="83">
        <f t="shared" si="21"/>
        <v>0</v>
      </c>
      <c r="T59" s="83">
        <f t="shared" si="21"/>
        <v>0</v>
      </c>
      <c r="U59" s="83">
        <f t="shared" si="21"/>
        <v>0</v>
      </c>
      <c r="V59" s="83">
        <f t="shared" si="21"/>
        <v>0</v>
      </c>
      <c r="W59" s="83">
        <f t="shared" si="21"/>
        <v>0</v>
      </c>
      <c r="X59" s="83">
        <f t="shared" si="21"/>
        <v>0</v>
      </c>
      <c r="Y59" s="83">
        <f t="shared" si="21"/>
        <v>0</v>
      </c>
    </row>
    <row r="60" spans="2:25" x14ac:dyDescent="0.2">
      <c r="B60" s="2" t="s">
        <v>33</v>
      </c>
      <c r="C60" s="79">
        <f>+'Inputs Field'!D51</f>
        <v>1</v>
      </c>
      <c r="D60" s="34">
        <f>+'Inputs Field'!F51</f>
        <v>1</v>
      </c>
      <c r="E60" s="34">
        <f>+C60*D60*'Assumptions &amp; Costs'!E$76*(1+'Assumptions &amp; Costs'!C$81)</f>
        <v>5.7474999999999996</v>
      </c>
      <c r="F60" s="83">
        <f t="shared" si="20"/>
        <v>0</v>
      </c>
      <c r="G60" s="83">
        <f t="shared" si="21"/>
        <v>18392</v>
      </c>
      <c r="H60" s="83">
        <f t="shared" si="21"/>
        <v>0</v>
      </c>
      <c r="I60" s="83">
        <f t="shared" si="21"/>
        <v>0</v>
      </c>
      <c r="J60" s="83">
        <f t="shared" si="21"/>
        <v>0</v>
      </c>
      <c r="K60" s="83">
        <f t="shared" si="21"/>
        <v>0</v>
      </c>
      <c r="L60" s="83">
        <f t="shared" si="21"/>
        <v>0</v>
      </c>
      <c r="M60" s="83">
        <f t="shared" si="21"/>
        <v>0</v>
      </c>
      <c r="N60" s="83">
        <f t="shared" si="21"/>
        <v>0</v>
      </c>
      <c r="O60" s="83">
        <f t="shared" si="21"/>
        <v>0</v>
      </c>
      <c r="P60" s="83">
        <f t="shared" si="21"/>
        <v>0</v>
      </c>
      <c r="Q60" s="83">
        <f t="shared" si="21"/>
        <v>0</v>
      </c>
      <c r="R60" s="83">
        <f t="shared" si="21"/>
        <v>0</v>
      </c>
      <c r="S60" s="83">
        <f t="shared" si="21"/>
        <v>0</v>
      </c>
      <c r="T60" s="83">
        <f t="shared" si="21"/>
        <v>0</v>
      </c>
      <c r="U60" s="83">
        <f t="shared" si="21"/>
        <v>0</v>
      </c>
      <c r="V60" s="83">
        <f t="shared" si="21"/>
        <v>0</v>
      </c>
      <c r="W60" s="83">
        <f t="shared" si="21"/>
        <v>0</v>
      </c>
      <c r="X60" s="83">
        <f t="shared" si="21"/>
        <v>0</v>
      </c>
      <c r="Y60" s="83">
        <f t="shared" si="21"/>
        <v>0</v>
      </c>
    </row>
    <row r="61" spans="2:25" x14ac:dyDescent="0.2">
      <c r="B61" s="2" t="s">
        <v>25</v>
      </c>
      <c r="C61" s="79">
        <f>+'Inputs Field'!D52</f>
        <v>5</v>
      </c>
      <c r="D61" s="34">
        <f>+'Inputs Field'!F52</f>
        <v>1</v>
      </c>
      <c r="E61" s="34">
        <f>+C61*D61*'Assumptions &amp; Costs'!E$76*(1+'Assumptions &amp; Costs'!C$81)</f>
        <v>28.737499999999997</v>
      </c>
      <c r="F61" s="83">
        <f t="shared" si="20"/>
        <v>0</v>
      </c>
      <c r="G61" s="83">
        <f t="shared" si="21"/>
        <v>91959.999999999985</v>
      </c>
      <c r="H61" s="83">
        <f t="shared" si="21"/>
        <v>0</v>
      </c>
      <c r="I61" s="83">
        <f t="shared" si="21"/>
        <v>0</v>
      </c>
      <c r="J61" s="83">
        <f t="shared" si="21"/>
        <v>0</v>
      </c>
      <c r="K61" s="83">
        <f t="shared" si="21"/>
        <v>0</v>
      </c>
      <c r="L61" s="83">
        <f t="shared" si="21"/>
        <v>0</v>
      </c>
      <c r="M61" s="83">
        <f t="shared" si="21"/>
        <v>0</v>
      </c>
      <c r="N61" s="83">
        <f t="shared" si="21"/>
        <v>0</v>
      </c>
      <c r="O61" s="83">
        <f t="shared" si="21"/>
        <v>0</v>
      </c>
      <c r="P61" s="83">
        <f t="shared" si="21"/>
        <v>0</v>
      </c>
      <c r="Q61" s="83">
        <f t="shared" si="21"/>
        <v>0</v>
      </c>
      <c r="R61" s="83">
        <f t="shared" si="21"/>
        <v>0</v>
      </c>
      <c r="S61" s="83">
        <f t="shared" si="21"/>
        <v>0</v>
      </c>
      <c r="T61" s="83">
        <f t="shared" si="21"/>
        <v>0</v>
      </c>
      <c r="U61" s="83">
        <f t="shared" si="21"/>
        <v>0</v>
      </c>
      <c r="V61" s="83">
        <f t="shared" si="21"/>
        <v>0</v>
      </c>
      <c r="W61" s="83">
        <f t="shared" si="21"/>
        <v>0</v>
      </c>
      <c r="X61" s="83">
        <f t="shared" si="21"/>
        <v>0</v>
      </c>
      <c r="Y61" s="83">
        <f t="shared" si="21"/>
        <v>0</v>
      </c>
    </row>
    <row r="62" spans="2:25" x14ac:dyDescent="0.2">
      <c r="B62" s="2" t="s">
        <v>26</v>
      </c>
      <c r="C62" s="79">
        <f>+'Inputs Field'!D53</f>
        <v>16.3</v>
      </c>
      <c r="D62" s="34">
        <f>+'Inputs Field'!F53</f>
        <v>1</v>
      </c>
      <c r="E62" s="34">
        <f>+C62*D62*'Assumptions &amp; Costs'!E$76*(1+'Assumptions &amp; Costs'!C$81)</f>
        <v>93.684250000000006</v>
      </c>
      <c r="F62" s="83">
        <f t="shared" si="20"/>
        <v>0</v>
      </c>
      <c r="G62" s="83">
        <f t="shared" si="21"/>
        <v>299789.60000000003</v>
      </c>
      <c r="H62" s="83">
        <f t="shared" si="21"/>
        <v>0</v>
      </c>
      <c r="I62" s="83">
        <f t="shared" si="21"/>
        <v>0</v>
      </c>
      <c r="J62" s="83">
        <f t="shared" si="21"/>
        <v>0</v>
      </c>
      <c r="K62" s="83">
        <f t="shared" si="21"/>
        <v>0</v>
      </c>
      <c r="L62" s="83">
        <f t="shared" si="21"/>
        <v>0</v>
      </c>
      <c r="M62" s="83">
        <f t="shared" si="21"/>
        <v>0</v>
      </c>
      <c r="N62" s="83">
        <f t="shared" si="21"/>
        <v>0</v>
      </c>
      <c r="O62" s="83">
        <f t="shared" ref="O62:Y66" si="22">+$E62*O$18</f>
        <v>0</v>
      </c>
      <c r="P62" s="83">
        <f t="shared" si="22"/>
        <v>0</v>
      </c>
      <c r="Q62" s="83">
        <f t="shared" si="22"/>
        <v>0</v>
      </c>
      <c r="R62" s="83">
        <f t="shared" si="22"/>
        <v>0</v>
      </c>
      <c r="S62" s="83">
        <f t="shared" si="22"/>
        <v>0</v>
      </c>
      <c r="T62" s="83">
        <f t="shared" si="22"/>
        <v>0</v>
      </c>
      <c r="U62" s="83">
        <f t="shared" si="22"/>
        <v>0</v>
      </c>
      <c r="V62" s="83">
        <f t="shared" si="22"/>
        <v>0</v>
      </c>
      <c r="W62" s="83">
        <f t="shared" si="22"/>
        <v>0</v>
      </c>
      <c r="X62" s="83">
        <f t="shared" si="22"/>
        <v>0</v>
      </c>
      <c r="Y62" s="83">
        <f t="shared" si="22"/>
        <v>0</v>
      </c>
    </row>
    <row r="63" spans="2:25" x14ac:dyDescent="0.2">
      <c r="B63" s="2" t="s">
        <v>31</v>
      </c>
      <c r="C63" s="79">
        <f>+'Inputs Field'!D54</f>
        <v>5</v>
      </c>
      <c r="D63" s="34">
        <f>+'Inputs Field'!F54</f>
        <v>1</v>
      </c>
      <c r="E63" s="34">
        <f>+C63*D63*'Assumptions &amp; Costs'!E$76*(1+'Assumptions &amp; Costs'!C$81)</f>
        <v>28.737499999999997</v>
      </c>
      <c r="F63" s="83">
        <f t="shared" si="20"/>
        <v>0</v>
      </c>
      <c r="G63" s="83">
        <f t="shared" ref="G63:U66" si="23">+$E63*G$18</f>
        <v>91959.999999999985</v>
      </c>
      <c r="H63" s="83">
        <f t="shared" si="23"/>
        <v>0</v>
      </c>
      <c r="I63" s="83">
        <f t="shared" si="23"/>
        <v>0</v>
      </c>
      <c r="J63" s="83">
        <f t="shared" si="23"/>
        <v>0</v>
      </c>
      <c r="K63" s="83">
        <f t="shared" si="23"/>
        <v>0</v>
      </c>
      <c r="L63" s="83">
        <f t="shared" si="23"/>
        <v>0</v>
      </c>
      <c r="M63" s="83">
        <f t="shared" si="23"/>
        <v>0</v>
      </c>
      <c r="N63" s="83">
        <f t="shared" si="23"/>
        <v>0</v>
      </c>
      <c r="O63" s="83">
        <f t="shared" si="23"/>
        <v>0</v>
      </c>
      <c r="P63" s="83">
        <f t="shared" si="23"/>
        <v>0</v>
      </c>
      <c r="Q63" s="83">
        <f t="shared" si="23"/>
        <v>0</v>
      </c>
      <c r="R63" s="83">
        <f t="shared" si="23"/>
        <v>0</v>
      </c>
      <c r="S63" s="83">
        <f t="shared" si="23"/>
        <v>0</v>
      </c>
      <c r="T63" s="83">
        <f t="shared" si="23"/>
        <v>0</v>
      </c>
      <c r="U63" s="83">
        <f t="shared" si="23"/>
        <v>0</v>
      </c>
      <c r="V63" s="83">
        <f t="shared" si="22"/>
        <v>0</v>
      </c>
      <c r="W63" s="83">
        <f t="shared" si="22"/>
        <v>0</v>
      </c>
      <c r="X63" s="83">
        <f t="shared" si="22"/>
        <v>0</v>
      </c>
      <c r="Y63" s="83">
        <f t="shared" si="22"/>
        <v>0</v>
      </c>
    </row>
    <row r="64" spans="2:25" x14ac:dyDescent="0.2">
      <c r="B64" s="2" t="s">
        <v>58</v>
      </c>
      <c r="C64" s="79">
        <f>+'Inputs Field'!D55</f>
        <v>5</v>
      </c>
      <c r="D64" s="34">
        <f>+'Inputs Field'!F55</f>
        <v>1</v>
      </c>
      <c r="E64" s="34">
        <f>+C64*D64*'Assumptions &amp; Costs'!E$76*(1+'Assumptions &amp; Costs'!C$81)</f>
        <v>28.737499999999997</v>
      </c>
      <c r="F64" s="83">
        <f t="shared" si="20"/>
        <v>0</v>
      </c>
      <c r="G64" s="83">
        <f t="shared" si="23"/>
        <v>91959.999999999985</v>
      </c>
      <c r="H64" s="83">
        <f t="shared" si="23"/>
        <v>0</v>
      </c>
      <c r="I64" s="83">
        <f t="shared" si="23"/>
        <v>0</v>
      </c>
      <c r="J64" s="83">
        <f t="shared" si="23"/>
        <v>0</v>
      </c>
      <c r="K64" s="83">
        <f t="shared" si="23"/>
        <v>0</v>
      </c>
      <c r="L64" s="83">
        <f t="shared" si="23"/>
        <v>0</v>
      </c>
      <c r="M64" s="83">
        <f t="shared" si="23"/>
        <v>0</v>
      </c>
      <c r="N64" s="83">
        <f t="shared" si="23"/>
        <v>0</v>
      </c>
      <c r="O64" s="83">
        <f t="shared" si="23"/>
        <v>0</v>
      </c>
      <c r="P64" s="83">
        <f t="shared" si="23"/>
        <v>0</v>
      </c>
      <c r="Q64" s="83">
        <f t="shared" si="23"/>
        <v>0</v>
      </c>
      <c r="R64" s="83">
        <f t="shared" si="23"/>
        <v>0</v>
      </c>
      <c r="S64" s="83">
        <f t="shared" si="23"/>
        <v>0</v>
      </c>
      <c r="T64" s="83">
        <f t="shared" si="23"/>
        <v>0</v>
      </c>
      <c r="U64" s="83">
        <f t="shared" si="23"/>
        <v>0</v>
      </c>
      <c r="V64" s="83">
        <f t="shared" si="22"/>
        <v>0</v>
      </c>
      <c r="W64" s="83">
        <f t="shared" si="22"/>
        <v>0</v>
      </c>
      <c r="X64" s="83">
        <f t="shared" si="22"/>
        <v>0</v>
      </c>
      <c r="Y64" s="83">
        <f t="shared" si="22"/>
        <v>0</v>
      </c>
    </row>
    <row r="65" spans="2:25" x14ac:dyDescent="0.2">
      <c r="B65" s="2" t="s">
        <v>46</v>
      </c>
      <c r="C65" s="76">
        <f>+'Inputs Field'!D58</f>
        <v>0.1</v>
      </c>
      <c r="D65" s="83"/>
      <c r="E65" s="34">
        <f>SUMPRODUCT(C$50:C$64,D$50:D$64)*C65*'Assumptions &amp; Costs'!E78*(1+'Assumptions &amp; Costs'!C$81)</f>
        <v>98.203874999999996</v>
      </c>
      <c r="F65" s="83">
        <f t="shared" si="20"/>
        <v>0</v>
      </c>
      <c r="G65" s="83">
        <f t="shared" si="23"/>
        <v>314252.39999999997</v>
      </c>
      <c r="H65" s="83">
        <f t="shared" si="23"/>
        <v>0</v>
      </c>
      <c r="I65" s="83">
        <f t="shared" si="23"/>
        <v>0</v>
      </c>
      <c r="J65" s="83">
        <f t="shared" si="23"/>
        <v>0</v>
      </c>
      <c r="K65" s="83">
        <f t="shared" si="23"/>
        <v>0</v>
      </c>
      <c r="L65" s="83">
        <f t="shared" si="23"/>
        <v>0</v>
      </c>
      <c r="M65" s="83">
        <f t="shared" si="23"/>
        <v>0</v>
      </c>
      <c r="N65" s="83">
        <f t="shared" si="23"/>
        <v>0</v>
      </c>
      <c r="O65" s="83">
        <f t="shared" si="23"/>
        <v>0</v>
      </c>
      <c r="P65" s="83">
        <f t="shared" si="23"/>
        <v>0</v>
      </c>
      <c r="Q65" s="83">
        <f t="shared" si="23"/>
        <v>0</v>
      </c>
      <c r="R65" s="83">
        <f t="shared" si="23"/>
        <v>0</v>
      </c>
      <c r="S65" s="83">
        <f t="shared" si="23"/>
        <v>0</v>
      </c>
      <c r="T65" s="83">
        <f t="shared" si="23"/>
        <v>0</v>
      </c>
      <c r="U65" s="83">
        <f t="shared" si="23"/>
        <v>0</v>
      </c>
      <c r="V65" s="83">
        <f t="shared" si="22"/>
        <v>0</v>
      </c>
      <c r="W65" s="83">
        <f t="shared" si="22"/>
        <v>0</v>
      </c>
      <c r="X65" s="83">
        <f t="shared" si="22"/>
        <v>0</v>
      </c>
      <c r="Y65" s="83">
        <f t="shared" si="22"/>
        <v>0</v>
      </c>
    </row>
    <row r="66" spans="2:25" x14ac:dyDescent="0.2">
      <c r="B66" s="2" t="s">
        <v>47</v>
      </c>
      <c r="C66" s="76">
        <f>+'Inputs Field'!D59</f>
        <v>0.05</v>
      </c>
      <c r="D66" s="83"/>
      <c r="E66" s="34">
        <f>SUMPRODUCT(C$50:C$64,D$50:D$64)*C66*'Assumptions &amp; Costs'!E79*(1+'Assumptions &amp; Costs'!C$81)</f>
        <v>188.85360576923077</v>
      </c>
      <c r="F66" s="83">
        <f t="shared" si="20"/>
        <v>0</v>
      </c>
      <c r="G66" s="83">
        <f t="shared" si="23"/>
        <v>604331.5384615385</v>
      </c>
      <c r="H66" s="83">
        <f t="shared" si="23"/>
        <v>0</v>
      </c>
      <c r="I66" s="83">
        <f t="shared" si="23"/>
        <v>0</v>
      </c>
      <c r="J66" s="83">
        <f t="shared" si="23"/>
        <v>0</v>
      </c>
      <c r="K66" s="83">
        <f t="shared" si="23"/>
        <v>0</v>
      </c>
      <c r="L66" s="83">
        <f t="shared" si="23"/>
        <v>0</v>
      </c>
      <c r="M66" s="83">
        <f t="shared" si="23"/>
        <v>0</v>
      </c>
      <c r="N66" s="83">
        <f t="shared" si="23"/>
        <v>0</v>
      </c>
      <c r="O66" s="83">
        <f t="shared" si="23"/>
        <v>0</v>
      </c>
      <c r="P66" s="83">
        <f t="shared" si="23"/>
        <v>0</v>
      </c>
      <c r="Q66" s="83">
        <f t="shared" si="23"/>
        <v>0</v>
      </c>
      <c r="R66" s="83">
        <f t="shared" si="23"/>
        <v>0</v>
      </c>
      <c r="S66" s="83">
        <f t="shared" si="23"/>
        <v>0</v>
      </c>
      <c r="T66" s="83">
        <f t="shared" si="23"/>
        <v>0</v>
      </c>
      <c r="U66" s="83">
        <f t="shared" si="23"/>
        <v>0</v>
      </c>
      <c r="V66" s="83">
        <f t="shared" si="22"/>
        <v>0</v>
      </c>
      <c r="W66" s="83">
        <f t="shared" si="22"/>
        <v>0</v>
      </c>
      <c r="X66" s="83">
        <f t="shared" si="22"/>
        <v>0</v>
      </c>
      <c r="Y66" s="83">
        <f t="shared" si="22"/>
        <v>0</v>
      </c>
    </row>
    <row r="67" spans="2:25" x14ac:dyDescent="0.2">
      <c r="B67" s="1" t="s">
        <v>1</v>
      </c>
      <c r="C67" s="83"/>
      <c r="D67" s="83">
        <f>SUMPRODUCT(C50:C64,D50:D64)</f>
        <v>125.3</v>
      </c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</row>
    <row r="68" spans="2:25" s="129" customFormat="1" x14ac:dyDescent="0.2">
      <c r="B68" s="129" t="s">
        <v>461</v>
      </c>
      <c r="C68" s="34">
        <f>+'Inputs Field'!F36</f>
        <v>1</v>
      </c>
      <c r="D68" s="123"/>
      <c r="E68" s="34">
        <f>+C68*'Assumptions &amp; Costs'!C73</f>
        <v>100</v>
      </c>
      <c r="F68" s="123">
        <f t="shared" ref="F68:U76" si="24">+$E68*F$18</f>
        <v>0</v>
      </c>
      <c r="G68" s="123">
        <f t="shared" si="24"/>
        <v>320000</v>
      </c>
      <c r="H68" s="123">
        <f t="shared" si="24"/>
        <v>0</v>
      </c>
      <c r="I68" s="123">
        <f t="shared" si="24"/>
        <v>0</v>
      </c>
      <c r="J68" s="123">
        <f t="shared" si="24"/>
        <v>0</v>
      </c>
      <c r="K68" s="123">
        <f t="shared" si="24"/>
        <v>0</v>
      </c>
      <c r="L68" s="123">
        <f t="shared" si="24"/>
        <v>0</v>
      </c>
      <c r="M68" s="123">
        <f t="shared" si="24"/>
        <v>0</v>
      </c>
      <c r="N68" s="123">
        <f t="shared" si="24"/>
        <v>0</v>
      </c>
      <c r="O68" s="123">
        <f t="shared" si="24"/>
        <v>0</v>
      </c>
      <c r="P68" s="123">
        <f t="shared" si="24"/>
        <v>0</v>
      </c>
      <c r="Q68" s="123">
        <f t="shared" si="24"/>
        <v>0</v>
      </c>
      <c r="R68" s="123">
        <f t="shared" si="24"/>
        <v>0</v>
      </c>
      <c r="S68" s="123">
        <f t="shared" si="24"/>
        <v>0</v>
      </c>
      <c r="T68" s="123">
        <f t="shared" si="24"/>
        <v>0</v>
      </c>
      <c r="U68" s="123">
        <f t="shared" si="24"/>
        <v>0</v>
      </c>
      <c r="V68" s="123">
        <f t="shared" ref="V68:Y68" si="25">+$E68*V$18</f>
        <v>0</v>
      </c>
      <c r="W68" s="123">
        <f t="shared" si="25"/>
        <v>0</v>
      </c>
      <c r="X68" s="123">
        <f t="shared" si="25"/>
        <v>0</v>
      </c>
      <c r="Y68" s="123">
        <f t="shared" si="25"/>
        <v>0</v>
      </c>
    </row>
    <row r="69" spans="2:25" x14ac:dyDescent="0.2">
      <c r="B69" s="2" t="s">
        <v>462</v>
      </c>
      <c r="C69" s="34">
        <f>+'Inputs Field'!H41</f>
        <v>9</v>
      </c>
      <c r="D69" s="34">
        <f>+'Inputs Field'!F41</f>
        <v>1</v>
      </c>
      <c r="E69" s="34">
        <f>+D69*C69*'Assumptions &amp; Costs'!C64</f>
        <v>45</v>
      </c>
      <c r="F69" s="83">
        <f t="shared" si="24"/>
        <v>0</v>
      </c>
      <c r="G69" s="83">
        <f t="shared" si="24"/>
        <v>144000</v>
      </c>
      <c r="H69" s="83">
        <f t="shared" si="24"/>
        <v>0</v>
      </c>
      <c r="I69" s="83">
        <f t="shared" si="24"/>
        <v>0</v>
      </c>
      <c r="J69" s="83">
        <f t="shared" si="24"/>
        <v>0</v>
      </c>
      <c r="K69" s="83">
        <f t="shared" si="24"/>
        <v>0</v>
      </c>
      <c r="L69" s="83">
        <f t="shared" si="24"/>
        <v>0</v>
      </c>
      <c r="M69" s="83">
        <f t="shared" si="24"/>
        <v>0</v>
      </c>
      <c r="N69" s="83">
        <f t="shared" si="24"/>
        <v>0</v>
      </c>
      <c r="O69" s="83">
        <f t="shared" si="24"/>
        <v>0</v>
      </c>
      <c r="P69" s="83">
        <f t="shared" si="24"/>
        <v>0</v>
      </c>
      <c r="Q69" s="83">
        <f t="shared" si="24"/>
        <v>0</v>
      </c>
      <c r="R69" s="83">
        <f t="shared" si="24"/>
        <v>0</v>
      </c>
      <c r="S69" s="83">
        <f t="shared" si="24"/>
        <v>0</v>
      </c>
      <c r="T69" s="83">
        <f t="shared" si="24"/>
        <v>0</v>
      </c>
      <c r="U69" s="83">
        <f t="shared" si="24"/>
        <v>0</v>
      </c>
      <c r="V69" s="83">
        <f t="shared" ref="V69:Y76" si="26">+$E69*V$18</f>
        <v>0</v>
      </c>
      <c r="W69" s="83">
        <f t="shared" si="26"/>
        <v>0</v>
      </c>
      <c r="X69" s="83">
        <f t="shared" si="26"/>
        <v>0</v>
      </c>
      <c r="Y69" s="83">
        <f t="shared" si="26"/>
        <v>0</v>
      </c>
    </row>
    <row r="70" spans="2:25" s="129" customFormat="1" x14ac:dyDescent="0.2">
      <c r="B70" s="129" t="s">
        <v>21</v>
      </c>
      <c r="C70" s="34">
        <f>+'Inputs Field'!H43</f>
        <v>148.03897499999997</v>
      </c>
      <c r="D70" s="34"/>
      <c r="E70" s="34">
        <f>+Nursery!J72*C70</f>
        <v>622.08332017567693</v>
      </c>
      <c r="F70" s="123">
        <f t="shared" si="24"/>
        <v>0</v>
      </c>
      <c r="G70" s="123">
        <f t="shared" si="24"/>
        <v>1990666.6245621662</v>
      </c>
      <c r="H70" s="123">
        <f t="shared" si="24"/>
        <v>0</v>
      </c>
      <c r="I70" s="123">
        <f t="shared" si="24"/>
        <v>0</v>
      </c>
      <c r="J70" s="123">
        <f t="shared" si="24"/>
        <v>0</v>
      </c>
      <c r="K70" s="123">
        <f t="shared" si="24"/>
        <v>0</v>
      </c>
      <c r="L70" s="123">
        <f t="shared" si="24"/>
        <v>0</v>
      </c>
      <c r="M70" s="123">
        <f t="shared" si="24"/>
        <v>0</v>
      </c>
      <c r="N70" s="123">
        <f t="shared" si="24"/>
        <v>0</v>
      </c>
      <c r="O70" s="123">
        <f t="shared" si="24"/>
        <v>0</v>
      </c>
      <c r="P70" s="123">
        <f t="shared" si="24"/>
        <v>0</v>
      </c>
      <c r="Q70" s="123">
        <f t="shared" si="24"/>
        <v>0</v>
      </c>
      <c r="R70" s="123">
        <f t="shared" si="24"/>
        <v>0</v>
      </c>
      <c r="S70" s="123">
        <f t="shared" si="24"/>
        <v>0</v>
      </c>
      <c r="T70" s="123">
        <f t="shared" si="24"/>
        <v>0</v>
      </c>
      <c r="U70" s="123">
        <f t="shared" si="24"/>
        <v>0</v>
      </c>
      <c r="V70" s="123">
        <f t="shared" si="26"/>
        <v>0</v>
      </c>
      <c r="W70" s="123">
        <f t="shared" si="26"/>
        <v>0</v>
      </c>
      <c r="X70" s="123">
        <f t="shared" si="26"/>
        <v>0</v>
      </c>
      <c r="Y70" s="123">
        <f t="shared" si="26"/>
        <v>0</v>
      </c>
    </row>
    <row r="71" spans="2:25" x14ac:dyDescent="0.2">
      <c r="B71" s="2" t="s">
        <v>237</v>
      </c>
      <c r="C71" s="34">
        <f>+'Inputs Field'!H43</f>
        <v>148.03897499999997</v>
      </c>
      <c r="D71" s="83"/>
      <c r="E71" s="34">
        <f>+C71*'Assumptions &amp; Costs'!C66</f>
        <v>74.019487499999983</v>
      </c>
      <c r="F71" s="83">
        <f t="shared" si="24"/>
        <v>0</v>
      </c>
      <c r="G71" s="83">
        <f t="shared" si="24"/>
        <v>236862.35999999996</v>
      </c>
      <c r="H71" s="83">
        <f t="shared" si="24"/>
        <v>0</v>
      </c>
      <c r="I71" s="83">
        <f t="shared" si="24"/>
        <v>0</v>
      </c>
      <c r="J71" s="83">
        <f t="shared" si="24"/>
        <v>0</v>
      </c>
      <c r="K71" s="83">
        <f t="shared" si="24"/>
        <v>0</v>
      </c>
      <c r="L71" s="83">
        <f t="shared" si="24"/>
        <v>0</v>
      </c>
      <c r="M71" s="83">
        <f t="shared" si="24"/>
        <v>0</v>
      </c>
      <c r="N71" s="83">
        <f t="shared" si="24"/>
        <v>0</v>
      </c>
      <c r="O71" s="83">
        <f t="shared" si="24"/>
        <v>0</v>
      </c>
      <c r="P71" s="83">
        <f t="shared" si="24"/>
        <v>0</v>
      </c>
      <c r="Q71" s="83">
        <f t="shared" si="24"/>
        <v>0</v>
      </c>
      <c r="R71" s="83">
        <f t="shared" si="24"/>
        <v>0</v>
      </c>
      <c r="S71" s="83">
        <f t="shared" si="24"/>
        <v>0</v>
      </c>
      <c r="T71" s="83">
        <f t="shared" si="24"/>
        <v>0</v>
      </c>
      <c r="U71" s="83">
        <f t="shared" si="24"/>
        <v>0</v>
      </c>
      <c r="V71" s="83">
        <f t="shared" si="26"/>
        <v>0</v>
      </c>
      <c r="W71" s="83">
        <f t="shared" si="26"/>
        <v>0</v>
      </c>
      <c r="X71" s="83">
        <f t="shared" si="26"/>
        <v>0</v>
      </c>
      <c r="Y71" s="83">
        <f t="shared" si="26"/>
        <v>0</v>
      </c>
    </row>
    <row r="72" spans="2:25" x14ac:dyDescent="0.2">
      <c r="B72" s="2" t="s">
        <v>463</v>
      </c>
      <c r="C72" s="78">
        <f>+'Inputs Field'!H45</f>
        <v>0.5</v>
      </c>
      <c r="D72" s="83"/>
      <c r="E72" s="34">
        <f>+C72*C71*('Assumptions &amp; Costs'!C71+'Assumptions &amp; Costs'!C72)/1000</f>
        <v>34.011954506249992</v>
      </c>
      <c r="F72" s="83">
        <f t="shared" si="24"/>
        <v>0</v>
      </c>
      <c r="G72" s="83">
        <f t="shared" si="24"/>
        <v>108838.25441999998</v>
      </c>
      <c r="H72" s="83">
        <f t="shared" si="24"/>
        <v>0</v>
      </c>
      <c r="I72" s="83">
        <f t="shared" si="24"/>
        <v>0</v>
      </c>
      <c r="J72" s="83">
        <f t="shared" si="24"/>
        <v>0</v>
      </c>
      <c r="K72" s="83">
        <f t="shared" si="24"/>
        <v>0</v>
      </c>
      <c r="L72" s="83">
        <f t="shared" si="24"/>
        <v>0</v>
      </c>
      <c r="M72" s="83">
        <f t="shared" si="24"/>
        <v>0</v>
      </c>
      <c r="N72" s="83">
        <f t="shared" si="24"/>
        <v>0</v>
      </c>
      <c r="O72" s="83">
        <f t="shared" si="24"/>
        <v>0</v>
      </c>
      <c r="P72" s="83">
        <f t="shared" si="24"/>
        <v>0</v>
      </c>
      <c r="Q72" s="83">
        <f t="shared" si="24"/>
        <v>0</v>
      </c>
      <c r="R72" s="83">
        <f t="shared" si="24"/>
        <v>0</v>
      </c>
      <c r="S72" s="83">
        <f t="shared" si="24"/>
        <v>0</v>
      </c>
      <c r="T72" s="83">
        <f t="shared" si="24"/>
        <v>0</v>
      </c>
      <c r="U72" s="83">
        <f t="shared" si="24"/>
        <v>0</v>
      </c>
      <c r="V72" s="83">
        <f t="shared" si="26"/>
        <v>0</v>
      </c>
      <c r="W72" s="83">
        <f t="shared" si="26"/>
        <v>0</v>
      </c>
      <c r="X72" s="83">
        <f t="shared" si="26"/>
        <v>0</v>
      </c>
      <c r="Y72" s="83">
        <f t="shared" si="26"/>
        <v>0</v>
      </c>
    </row>
    <row r="73" spans="2:25" s="129" customFormat="1" x14ac:dyDescent="0.2">
      <c r="B73" s="129" t="s">
        <v>464</v>
      </c>
      <c r="C73" s="78">
        <f>+'Inputs Field'!H46</f>
        <v>0.4</v>
      </c>
      <c r="D73" s="123"/>
      <c r="E73" s="34">
        <f>+C73*C71*('Assumptions &amp; Costs'!C67+'Assumptions &amp; Costs'!C72)/1000</f>
        <v>124.32313120499998</v>
      </c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</row>
    <row r="74" spans="2:25" x14ac:dyDescent="0.2">
      <c r="B74" s="2" t="s">
        <v>239</v>
      </c>
      <c r="C74" s="34">
        <f>+'Inputs Field'!H48</f>
        <v>1</v>
      </c>
      <c r="D74" s="34">
        <f>+'Inputs Field'!F48</f>
        <v>6</v>
      </c>
      <c r="E74" s="34">
        <f>+C74*D74*'Assumptions &amp; Costs'!C65</f>
        <v>60</v>
      </c>
      <c r="F74" s="83">
        <f t="shared" si="24"/>
        <v>0</v>
      </c>
      <c r="G74" s="83">
        <f t="shared" si="24"/>
        <v>192000</v>
      </c>
      <c r="H74" s="83">
        <f t="shared" si="24"/>
        <v>0</v>
      </c>
      <c r="I74" s="83">
        <f t="shared" si="24"/>
        <v>0</v>
      </c>
      <c r="J74" s="83">
        <f t="shared" si="24"/>
        <v>0</v>
      </c>
      <c r="K74" s="83">
        <f t="shared" si="24"/>
        <v>0</v>
      </c>
      <c r="L74" s="83">
        <f t="shared" si="24"/>
        <v>0</v>
      </c>
      <c r="M74" s="83">
        <f t="shared" si="24"/>
        <v>0</v>
      </c>
      <c r="N74" s="83">
        <f t="shared" si="24"/>
        <v>0</v>
      </c>
      <c r="O74" s="83">
        <f t="shared" si="24"/>
        <v>0</v>
      </c>
      <c r="P74" s="83">
        <f t="shared" si="24"/>
        <v>0</v>
      </c>
      <c r="Q74" s="83">
        <f t="shared" si="24"/>
        <v>0</v>
      </c>
      <c r="R74" s="83">
        <f t="shared" si="24"/>
        <v>0</v>
      </c>
      <c r="S74" s="83">
        <f t="shared" si="24"/>
        <v>0</v>
      </c>
      <c r="T74" s="83">
        <f t="shared" si="24"/>
        <v>0</v>
      </c>
      <c r="U74" s="83">
        <f t="shared" si="24"/>
        <v>0</v>
      </c>
      <c r="V74" s="83">
        <f t="shared" si="26"/>
        <v>0</v>
      </c>
      <c r="W74" s="83">
        <f t="shared" si="26"/>
        <v>0</v>
      </c>
      <c r="X74" s="83">
        <f t="shared" si="26"/>
        <v>0</v>
      </c>
      <c r="Y74" s="83">
        <f t="shared" si="26"/>
        <v>0</v>
      </c>
    </row>
    <row r="75" spans="2:25" x14ac:dyDescent="0.2">
      <c r="B75" s="2" t="s">
        <v>232</v>
      </c>
      <c r="C75" s="78">
        <f>+'Inputs Field'!H50</f>
        <v>0.15</v>
      </c>
      <c r="D75" s="34">
        <f>+'Inputs Field'!F50</f>
        <v>2</v>
      </c>
      <c r="E75" s="34">
        <f>+(D75*C75*C71)*('Assumptions &amp; Costs'!C68+'Assumptions &amp; Costs'!C72)/1000</f>
        <v>25.248047186249991</v>
      </c>
      <c r="F75" s="83">
        <f t="shared" si="24"/>
        <v>0</v>
      </c>
      <c r="G75" s="83">
        <f t="shared" si="24"/>
        <v>80793.750995999973</v>
      </c>
      <c r="H75" s="83">
        <f t="shared" si="24"/>
        <v>0</v>
      </c>
      <c r="I75" s="83">
        <f t="shared" si="24"/>
        <v>0</v>
      </c>
      <c r="J75" s="83">
        <f t="shared" si="24"/>
        <v>0</v>
      </c>
      <c r="K75" s="83">
        <f t="shared" si="24"/>
        <v>0</v>
      </c>
      <c r="L75" s="83">
        <f t="shared" si="24"/>
        <v>0</v>
      </c>
      <c r="M75" s="83">
        <f t="shared" si="24"/>
        <v>0</v>
      </c>
      <c r="N75" s="83">
        <f t="shared" si="24"/>
        <v>0</v>
      </c>
      <c r="O75" s="83">
        <f t="shared" si="24"/>
        <v>0</v>
      </c>
      <c r="P75" s="83">
        <f t="shared" si="24"/>
        <v>0</v>
      </c>
      <c r="Q75" s="83">
        <f t="shared" si="24"/>
        <v>0</v>
      </c>
      <c r="R75" s="83">
        <f t="shared" si="24"/>
        <v>0</v>
      </c>
      <c r="S75" s="83">
        <f t="shared" si="24"/>
        <v>0</v>
      </c>
      <c r="T75" s="83">
        <f t="shared" si="24"/>
        <v>0</v>
      </c>
      <c r="U75" s="83">
        <f t="shared" si="24"/>
        <v>0</v>
      </c>
      <c r="V75" s="83">
        <f t="shared" si="26"/>
        <v>0</v>
      </c>
      <c r="W75" s="83">
        <f t="shared" si="26"/>
        <v>0</v>
      </c>
      <c r="X75" s="83">
        <f t="shared" si="26"/>
        <v>0</v>
      </c>
      <c r="Y75" s="83">
        <f t="shared" si="26"/>
        <v>0</v>
      </c>
    </row>
    <row r="76" spans="2:25" x14ac:dyDescent="0.2">
      <c r="B76" s="2" t="s">
        <v>240</v>
      </c>
      <c r="C76" s="83"/>
      <c r="D76" s="83"/>
      <c r="E76" s="34">
        <f>+'Inputs Field'!H139</f>
        <v>10</v>
      </c>
      <c r="F76" s="83">
        <f t="shared" si="24"/>
        <v>0</v>
      </c>
      <c r="G76" s="83">
        <f t="shared" si="24"/>
        <v>32000</v>
      </c>
      <c r="H76" s="83">
        <f t="shared" si="24"/>
        <v>0</v>
      </c>
      <c r="I76" s="83">
        <f t="shared" si="24"/>
        <v>0</v>
      </c>
      <c r="J76" s="83">
        <f t="shared" si="24"/>
        <v>0</v>
      </c>
      <c r="K76" s="83">
        <f t="shared" si="24"/>
        <v>0</v>
      </c>
      <c r="L76" s="83">
        <f t="shared" si="24"/>
        <v>0</v>
      </c>
      <c r="M76" s="83">
        <f t="shared" si="24"/>
        <v>0</v>
      </c>
      <c r="N76" s="83">
        <f t="shared" si="24"/>
        <v>0</v>
      </c>
      <c r="O76" s="83">
        <f t="shared" si="24"/>
        <v>0</v>
      </c>
      <c r="P76" s="83">
        <f t="shared" si="24"/>
        <v>0</v>
      </c>
      <c r="Q76" s="83">
        <f t="shared" si="24"/>
        <v>0</v>
      </c>
      <c r="R76" s="83">
        <f t="shared" si="24"/>
        <v>0</v>
      </c>
      <c r="S76" s="83">
        <f t="shared" si="24"/>
        <v>0</v>
      </c>
      <c r="T76" s="83">
        <f t="shared" si="24"/>
        <v>0</v>
      </c>
      <c r="U76" s="83">
        <f t="shared" si="24"/>
        <v>0</v>
      </c>
      <c r="V76" s="83">
        <f t="shared" si="26"/>
        <v>0</v>
      </c>
      <c r="W76" s="83">
        <f t="shared" si="26"/>
        <v>0</v>
      </c>
      <c r="X76" s="83">
        <f t="shared" si="26"/>
        <v>0</v>
      </c>
      <c r="Y76" s="83">
        <f t="shared" si="26"/>
        <v>0</v>
      </c>
    </row>
    <row r="77" spans="2:25" x14ac:dyDescent="0.2">
      <c r="B77" s="1" t="s">
        <v>101</v>
      </c>
      <c r="D77" s="3" t="s">
        <v>60</v>
      </c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</row>
    <row r="78" spans="2:25" x14ac:dyDescent="0.2">
      <c r="B78" s="2" t="s">
        <v>17</v>
      </c>
      <c r="C78" s="2" t="s">
        <v>61</v>
      </c>
      <c r="D78" s="3">
        <f>+'Inputs Field'!K34</f>
        <v>12</v>
      </c>
      <c r="E78" s="34">
        <f>+D78*'Assumptions &amp; Costs'!D84</f>
        <v>1200</v>
      </c>
      <c r="F78" s="83">
        <f t="shared" ref="F78:U85" si="27">+$E78*F$18</f>
        <v>0</v>
      </c>
      <c r="G78" s="83">
        <f t="shared" si="27"/>
        <v>3840000</v>
      </c>
      <c r="H78" s="83">
        <f t="shared" si="27"/>
        <v>0</v>
      </c>
      <c r="I78" s="83">
        <f t="shared" si="27"/>
        <v>0</v>
      </c>
      <c r="J78" s="83">
        <f t="shared" si="27"/>
        <v>0</v>
      </c>
      <c r="K78" s="83">
        <f t="shared" si="27"/>
        <v>0</v>
      </c>
      <c r="L78" s="83">
        <f t="shared" si="27"/>
        <v>0</v>
      </c>
      <c r="M78" s="83">
        <f t="shared" si="27"/>
        <v>0</v>
      </c>
      <c r="N78" s="83">
        <f t="shared" si="27"/>
        <v>0</v>
      </c>
      <c r="O78" s="83">
        <f t="shared" si="27"/>
        <v>0</v>
      </c>
      <c r="P78" s="83">
        <f t="shared" si="27"/>
        <v>0</v>
      </c>
      <c r="Q78" s="83">
        <f t="shared" si="27"/>
        <v>0</v>
      </c>
      <c r="R78" s="83">
        <f t="shared" si="27"/>
        <v>0</v>
      </c>
      <c r="S78" s="83">
        <f t="shared" si="27"/>
        <v>0</v>
      </c>
      <c r="T78" s="83">
        <f t="shared" si="27"/>
        <v>0</v>
      </c>
      <c r="U78" s="83">
        <f t="shared" si="27"/>
        <v>0</v>
      </c>
      <c r="V78" s="83">
        <f t="shared" ref="V78:Y85" si="28">+$E78*V$18</f>
        <v>0</v>
      </c>
      <c r="W78" s="83">
        <f t="shared" si="28"/>
        <v>0</v>
      </c>
      <c r="X78" s="83">
        <f t="shared" si="28"/>
        <v>0</v>
      </c>
      <c r="Y78" s="83">
        <f t="shared" si="28"/>
        <v>0</v>
      </c>
    </row>
    <row r="79" spans="2:25" x14ac:dyDescent="0.2">
      <c r="B79" s="2" t="s">
        <v>62</v>
      </c>
      <c r="C79" s="2" t="s">
        <v>20</v>
      </c>
      <c r="D79" s="3">
        <f>+'Inputs Field'!K35</f>
        <v>0</v>
      </c>
      <c r="E79" s="34">
        <f>+D79*'Assumptions &amp; Costs'!D85</f>
        <v>0</v>
      </c>
      <c r="F79" s="83">
        <f t="shared" si="27"/>
        <v>0</v>
      </c>
      <c r="G79" s="83">
        <f t="shared" si="27"/>
        <v>0</v>
      </c>
      <c r="H79" s="83">
        <f t="shared" si="27"/>
        <v>0</v>
      </c>
      <c r="I79" s="83">
        <f t="shared" si="27"/>
        <v>0</v>
      </c>
      <c r="J79" s="83">
        <f t="shared" si="27"/>
        <v>0</v>
      </c>
      <c r="K79" s="83">
        <f t="shared" si="27"/>
        <v>0</v>
      </c>
      <c r="L79" s="83">
        <f t="shared" si="27"/>
        <v>0</v>
      </c>
      <c r="M79" s="83">
        <f t="shared" si="27"/>
        <v>0</v>
      </c>
      <c r="N79" s="83">
        <f t="shared" si="27"/>
        <v>0</v>
      </c>
      <c r="O79" s="83">
        <f t="shared" si="27"/>
        <v>0</v>
      </c>
      <c r="P79" s="83">
        <f t="shared" si="27"/>
        <v>0</v>
      </c>
      <c r="Q79" s="83">
        <f t="shared" si="27"/>
        <v>0</v>
      </c>
      <c r="R79" s="83">
        <f t="shared" si="27"/>
        <v>0</v>
      </c>
      <c r="S79" s="83">
        <f t="shared" si="27"/>
        <v>0</v>
      </c>
      <c r="T79" s="83">
        <f t="shared" si="27"/>
        <v>0</v>
      </c>
      <c r="U79" s="83">
        <f t="shared" si="27"/>
        <v>0</v>
      </c>
      <c r="V79" s="83">
        <f t="shared" si="28"/>
        <v>0</v>
      </c>
      <c r="W79" s="83">
        <f t="shared" si="28"/>
        <v>0</v>
      </c>
      <c r="X79" s="83">
        <f t="shared" si="28"/>
        <v>0</v>
      </c>
      <c r="Y79" s="83">
        <f t="shared" si="28"/>
        <v>0</v>
      </c>
    </row>
    <row r="80" spans="2:25" x14ac:dyDescent="0.2">
      <c r="B80" s="2" t="s">
        <v>65</v>
      </c>
      <c r="C80" s="2" t="s">
        <v>20</v>
      </c>
      <c r="D80" s="3">
        <f>+'Inputs Field'!K36</f>
        <v>0.5</v>
      </c>
      <c r="E80" s="34">
        <f>+D80*'Assumptions &amp; Costs'!D85</f>
        <v>37.5</v>
      </c>
      <c r="F80" s="83">
        <f t="shared" si="27"/>
        <v>0</v>
      </c>
      <c r="G80" s="83">
        <f t="shared" si="27"/>
        <v>120000</v>
      </c>
      <c r="H80" s="83">
        <f t="shared" si="27"/>
        <v>0</v>
      </c>
      <c r="I80" s="83">
        <f t="shared" si="27"/>
        <v>0</v>
      </c>
      <c r="J80" s="83">
        <f t="shared" si="27"/>
        <v>0</v>
      </c>
      <c r="K80" s="83">
        <f t="shared" si="27"/>
        <v>0</v>
      </c>
      <c r="L80" s="83">
        <f t="shared" si="27"/>
        <v>0</v>
      </c>
      <c r="M80" s="83">
        <f t="shared" si="27"/>
        <v>0</v>
      </c>
      <c r="N80" s="83">
        <f t="shared" si="27"/>
        <v>0</v>
      </c>
      <c r="O80" s="83">
        <f t="shared" si="27"/>
        <v>0</v>
      </c>
      <c r="P80" s="83">
        <f t="shared" si="27"/>
        <v>0</v>
      </c>
      <c r="Q80" s="83">
        <f t="shared" si="27"/>
        <v>0</v>
      </c>
      <c r="R80" s="83">
        <f t="shared" si="27"/>
        <v>0</v>
      </c>
      <c r="S80" s="83">
        <f t="shared" si="27"/>
        <v>0</v>
      </c>
      <c r="T80" s="83">
        <f t="shared" si="27"/>
        <v>0</v>
      </c>
      <c r="U80" s="83">
        <f t="shared" si="27"/>
        <v>0</v>
      </c>
      <c r="V80" s="83">
        <f t="shared" si="28"/>
        <v>0</v>
      </c>
      <c r="W80" s="83">
        <f t="shared" si="28"/>
        <v>0</v>
      </c>
      <c r="X80" s="83">
        <f t="shared" si="28"/>
        <v>0</v>
      </c>
      <c r="Y80" s="83">
        <f t="shared" si="28"/>
        <v>0</v>
      </c>
    </row>
    <row r="81" spans="2:25" x14ac:dyDescent="0.2">
      <c r="C81" s="2" t="s">
        <v>53</v>
      </c>
      <c r="D81" s="3">
        <f>+'Inputs Field'!K37</f>
        <v>0.2</v>
      </c>
      <c r="E81" s="34">
        <f>+D81*'Assumptions &amp; Costs'!D86</f>
        <v>15</v>
      </c>
      <c r="F81" s="83">
        <f t="shared" si="27"/>
        <v>0</v>
      </c>
      <c r="G81" s="83">
        <f t="shared" si="27"/>
        <v>48000</v>
      </c>
      <c r="H81" s="83">
        <f t="shared" si="27"/>
        <v>0</v>
      </c>
      <c r="I81" s="83">
        <f t="shared" si="27"/>
        <v>0</v>
      </c>
      <c r="J81" s="83">
        <f t="shared" si="27"/>
        <v>0</v>
      </c>
      <c r="K81" s="83">
        <f t="shared" si="27"/>
        <v>0</v>
      </c>
      <c r="L81" s="83">
        <f t="shared" si="27"/>
        <v>0</v>
      </c>
      <c r="M81" s="83">
        <f t="shared" si="27"/>
        <v>0</v>
      </c>
      <c r="N81" s="83">
        <f t="shared" si="27"/>
        <v>0</v>
      </c>
      <c r="O81" s="83">
        <f t="shared" si="27"/>
        <v>0</v>
      </c>
      <c r="P81" s="83">
        <f t="shared" si="27"/>
        <v>0</v>
      </c>
      <c r="Q81" s="83">
        <f t="shared" si="27"/>
        <v>0</v>
      </c>
      <c r="R81" s="83">
        <f t="shared" si="27"/>
        <v>0</v>
      </c>
      <c r="S81" s="83">
        <f t="shared" si="27"/>
        <v>0</v>
      </c>
      <c r="T81" s="83">
        <f t="shared" si="27"/>
        <v>0</v>
      </c>
      <c r="U81" s="83">
        <f t="shared" si="27"/>
        <v>0</v>
      </c>
      <c r="V81" s="83">
        <f t="shared" si="28"/>
        <v>0</v>
      </c>
      <c r="W81" s="83">
        <f t="shared" si="28"/>
        <v>0</v>
      </c>
      <c r="X81" s="83">
        <f t="shared" si="28"/>
        <v>0</v>
      </c>
      <c r="Y81" s="83">
        <f t="shared" si="28"/>
        <v>0</v>
      </c>
    </row>
    <row r="82" spans="2:25" x14ac:dyDescent="0.2">
      <c r="C82" s="2" t="s">
        <v>54</v>
      </c>
      <c r="D82" s="3">
        <f>+'Inputs Field'!K38</f>
        <v>0.15</v>
      </c>
      <c r="E82" s="34">
        <f>+D82*'Assumptions &amp; Costs'!D87</f>
        <v>7.5</v>
      </c>
      <c r="F82" s="83">
        <f t="shared" si="27"/>
        <v>0</v>
      </c>
      <c r="G82" s="83">
        <f t="shared" si="27"/>
        <v>24000</v>
      </c>
      <c r="H82" s="83">
        <f t="shared" si="27"/>
        <v>0</v>
      </c>
      <c r="I82" s="83">
        <f t="shared" si="27"/>
        <v>0</v>
      </c>
      <c r="J82" s="83">
        <f t="shared" si="27"/>
        <v>0</v>
      </c>
      <c r="K82" s="83">
        <f t="shared" si="27"/>
        <v>0</v>
      </c>
      <c r="L82" s="83">
        <f t="shared" si="27"/>
        <v>0</v>
      </c>
      <c r="M82" s="83">
        <f t="shared" si="27"/>
        <v>0</v>
      </c>
      <c r="N82" s="83">
        <f t="shared" si="27"/>
        <v>0</v>
      </c>
      <c r="O82" s="83">
        <f t="shared" si="27"/>
        <v>0</v>
      </c>
      <c r="P82" s="83">
        <f t="shared" si="27"/>
        <v>0</v>
      </c>
      <c r="Q82" s="83">
        <f t="shared" si="27"/>
        <v>0</v>
      </c>
      <c r="R82" s="83">
        <f t="shared" si="27"/>
        <v>0</v>
      </c>
      <c r="S82" s="83">
        <f t="shared" si="27"/>
        <v>0</v>
      </c>
      <c r="T82" s="83">
        <f t="shared" si="27"/>
        <v>0</v>
      </c>
      <c r="U82" s="83">
        <f t="shared" si="27"/>
        <v>0</v>
      </c>
      <c r="V82" s="83">
        <f t="shared" si="28"/>
        <v>0</v>
      </c>
      <c r="W82" s="83">
        <f t="shared" si="28"/>
        <v>0</v>
      </c>
      <c r="X82" s="83">
        <f t="shared" si="28"/>
        <v>0</v>
      </c>
      <c r="Y82" s="83">
        <f t="shared" si="28"/>
        <v>0</v>
      </c>
    </row>
    <row r="83" spans="2:25" x14ac:dyDescent="0.2">
      <c r="B83" s="2" t="s">
        <v>69</v>
      </c>
      <c r="C83" s="2" t="s">
        <v>241</v>
      </c>
      <c r="D83" s="3">
        <f>+'Inputs Field'!K42</f>
        <v>3</v>
      </c>
      <c r="E83" s="34">
        <f>+D83*'Assumptions &amp; Costs'!D88</f>
        <v>30</v>
      </c>
      <c r="F83" s="83">
        <f t="shared" si="27"/>
        <v>0</v>
      </c>
      <c r="G83" s="83">
        <f t="shared" si="27"/>
        <v>96000</v>
      </c>
      <c r="H83" s="83">
        <f t="shared" si="27"/>
        <v>0</v>
      </c>
      <c r="I83" s="83">
        <f t="shared" si="27"/>
        <v>0</v>
      </c>
      <c r="J83" s="83">
        <f t="shared" si="27"/>
        <v>0</v>
      </c>
      <c r="K83" s="83">
        <f t="shared" si="27"/>
        <v>0</v>
      </c>
      <c r="L83" s="83">
        <f t="shared" si="27"/>
        <v>0</v>
      </c>
      <c r="M83" s="83">
        <f t="shared" si="27"/>
        <v>0</v>
      </c>
      <c r="N83" s="83">
        <f t="shared" si="27"/>
        <v>0</v>
      </c>
      <c r="O83" s="83">
        <f t="shared" si="27"/>
        <v>0</v>
      </c>
      <c r="P83" s="83">
        <f t="shared" si="27"/>
        <v>0</v>
      </c>
      <c r="Q83" s="83">
        <f t="shared" si="27"/>
        <v>0</v>
      </c>
      <c r="R83" s="83">
        <f t="shared" si="27"/>
        <v>0</v>
      </c>
      <c r="S83" s="83">
        <f t="shared" si="27"/>
        <v>0</v>
      </c>
      <c r="T83" s="83">
        <f t="shared" si="27"/>
        <v>0</v>
      </c>
      <c r="U83" s="83">
        <f t="shared" si="27"/>
        <v>0</v>
      </c>
      <c r="V83" s="83">
        <f t="shared" si="28"/>
        <v>0</v>
      </c>
      <c r="W83" s="83">
        <f t="shared" si="28"/>
        <v>0</v>
      </c>
      <c r="X83" s="83">
        <f t="shared" si="28"/>
        <v>0</v>
      </c>
      <c r="Y83" s="83">
        <f t="shared" si="28"/>
        <v>0</v>
      </c>
    </row>
    <row r="84" spans="2:25" x14ac:dyDescent="0.2">
      <c r="B84" s="2" t="s">
        <v>242</v>
      </c>
      <c r="C84" s="2" t="s">
        <v>241</v>
      </c>
      <c r="D84" s="3">
        <f>+'Inputs Field'!K56</f>
        <v>0.5</v>
      </c>
      <c r="E84" s="34">
        <f>+D84*'Assumptions &amp; Costs'!D88</f>
        <v>5</v>
      </c>
      <c r="F84" s="83">
        <f t="shared" si="27"/>
        <v>0</v>
      </c>
      <c r="G84" s="83">
        <f t="shared" si="27"/>
        <v>16000</v>
      </c>
      <c r="H84" s="83">
        <f t="shared" si="27"/>
        <v>0</v>
      </c>
      <c r="I84" s="83">
        <f t="shared" si="27"/>
        <v>0</v>
      </c>
      <c r="J84" s="83">
        <f t="shared" si="27"/>
        <v>0</v>
      </c>
      <c r="K84" s="83">
        <f t="shared" si="27"/>
        <v>0</v>
      </c>
      <c r="L84" s="83">
        <f t="shared" si="27"/>
        <v>0</v>
      </c>
      <c r="M84" s="83">
        <f t="shared" si="27"/>
        <v>0</v>
      </c>
      <c r="N84" s="83">
        <f t="shared" si="27"/>
        <v>0</v>
      </c>
      <c r="O84" s="83">
        <f t="shared" si="27"/>
        <v>0</v>
      </c>
      <c r="P84" s="83">
        <f t="shared" si="27"/>
        <v>0</v>
      </c>
      <c r="Q84" s="83">
        <f t="shared" si="27"/>
        <v>0</v>
      </c>
      <c r="R84" s="83">
        <f t="shared" si="27"/>
        <v>0</v>
      </c>
      <c r="S84" s="83">
        <f t="shared" si="27"/>
        <v>0</v>
      </c>
      <c r="T84" s="83">
        <f t="shared" si="27"/>
        <v>0</v>
      </c>
      <c r="U84" s="83">
        <f t="shared" si="27"/>
        <v>0</v>
      </c>
      <c r="V84" s="83">
        <f t="shared" si="28"/>
        <v>0</v>
      </c>
      <c r="W84" s="83">
        <f t="shared" si="28"/>
        <v>0</v>
      </c>
      <c r="X84" s="83">
        <f t="shared" si="28"/>
        <v>0</v>
      </c>
      <c r="Y84" s="83">
        <f t="shared" si="28"/>
        <v>0</v>
      </c>
    </row>
    <row r="85" spans="2:25" x14ac:dyDescent="0.2">
      <c r="B85" s="2" t="s">
        <v>233</v>
      </c>
      <c r="C85" s="43">
        <f>+'Inputs Field'!H57</f>
        <v>0.05</v>
      </c>
      <c r="E85" s="34">
        <f>SUM(E50:E66)*C85</f>
        <v>50.439336538461532</v>
      </c>
      <c r="F85" s="83">
        <f t="shared" si="27"/>
        <v>0</v>
      </c>
      <c r="G85" s="83">
        <f t="shared" si="27"/>
        <v>161405.8769230769</v>
      </c>
      <c r="H85" s="83">
        <f t="shared" si="27"/>
        <v>0</v>
      </c>
      <c r="I85" s="83">
        <f t="shared" si="27"/>
        <v>0</v>
      </c>
      <c r="J85" s="83">
        <f t="shared" si="27"/>
        <v>0</v>
      </c>
      <c r="K85" s="83">
        <f t="shared" si="27"/>
        <v>0</v>
      </c>
      <c r="L85" s="83">
        <f t="shared" si="27"/>
        <v>0</v>
      </c>
      <c r="M85" s="83">
        <f t="shared" si="27"/>
        <v>0</v>
      </c>
      <c r="N85" s="83">
        <f t="shared" si="27"/>
        <v>0</v>
      </c>
      <c r="O85" s="83">
        <f t="shared" si="27"/>
        <v>0</v>
      </c>
      <c r="P85" s="83">
        <f t="shared" si="27"/>
        <v>0</v>
      </c>
      <c r="Q85" s="83">
        <f t="shared" si="27"/>
        <v>0</v>
      </c>
      <c r="R85" s="83">
        <f t="shared" si="27"/>
        <v>0</v>
      </c>
      <c r="S85" s="83">
        <f t="shared" si="27"/>
        <v>0</v>
      </c>
      <c r="T85" s="83">
        <f t="shared" si="27"/>
        <v>0</v>
      </c>
      <c r="U85" s="83">
        <f t="shared" si="27"/>
        <v>0</v>
      </c>
      <c r="V85" s="83">
        <f t="shared" si="28"/>
        <v>0</v>
      </c>
      <c r="W85" s="83">
        <f t="shared" si="28"/>
        <v>0</v>
      </c>
      <c r="X85" s="83">
        <f t="shared" si="28"/>
        <v>0</v>
      </c>
      <c r="Y85" s="83">
        <f t="shared" si="28"/>
        <v>0</v>
      </c>
    </row>
    <row r="86" spans="2:25" x14ac:dyDescent="0.2">
      <c r="B86" s="1" t="s">
        <v>86</v>
      </c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</row>
    <row r="87" spans="2:25" x14ac:dyDescent="0.2">
      <c r="B87" s="2" t="s">
        <v>234</v>
      </c>
      <c r="C87" s="83"/>
      <c r="D87" s="83"/>
      <c r="E87" s="34">
        <f t="shared" ref="E87:Y87" si="29">SUM(E50:E66)</f>
        <v>1008.7867307692306</v>
      </c>
      <c r="F87" s="77">
        <f t="shared" si="29"/>
        <v>0</v>
      </c>
      <c r="G87" s="77">
        <f t="shared" si="29"/>
        <v>3228117.5384615385</v>
      </c>
      <c r="H87" s="77">
        <f t="shared" si="29"/>
        <v>0</v>
      </c>
      <c r="I87" s="77">
        <f t="shared" si="29"/>
        <v>0</v>
      </c>
      <c r="J87" s="77">
        <f t="shared" si="29"/>
        <v>0</v>
      </c>
      <c r="K87" s="77">
        <f t="shared" si="29"/>
        <v>0</v>
      </c>
      <c r="L87" s="77">
        <f t="shared" si="29"/>
        <v>0</v>
      </c>
      <c r="M87" s="77">
        <f t="shared" si="29"/>
        <v>0</v>
      </c>
      <c r="N87" s="77">
        <f t="shared" si="29"/>
        <v>0</v>
      </c>
      <c r="O87" s="77">
        <f t="shared" si="29"/>
        <v>0</v>
      </c>
      <c r="P87" s="77">
        <f t="shared" si="29"/>
        <v>0</v>
      </c>
      <c r="Q87" s="77">
        <f t="shared" si="29"/>
        <v>0</v>
      </c>
      <c r="R87" s="77">
        <f t="shared" si="29"/>
        <v>0</v>
      </c>
      <c r="S87" s="77">
        <f t="shared" si="29"/>
        <v>0</v>
      </c>
      <c r="T87" s="77">
        <f t="shared" si="29"/>
        <v>0</v>
      </c>
      <c r="U87" s="77">
        <f t="shared" si="29"/>
        <v>0</v>
      </c>
      <c r="V87" s="77">
        <f t="shared" si="29"/>
        <v>0</v>
      </c>
      <c r="W87" s="77">
        <f t="shared" si="29"/>
        <v>0</v>
      </c>
      <c r="X87" s="77">
        <f t="shared" si="29"/>
        <v>0</v>
      </c>
      <c r="Y87" s="77">
        <f t="shared" si="29"/>
        <v>0</v>
      </c>
    </row>
    <row r="88" spans="2:25" x14ac:dyDescent="0.2">
      <c r="B88" s="2" t="s">
        <v>1</v>
      </c>
      <c r="C88" s="83"/>
      <c r="D88" s="83"/>
      <c r="E88" s="34">
        <f t="shared" ref="E88:Y88" si="30">SUM(E69:E76)</f>
        <v>994.68594057317682</v>
      </c>
      <c r="F88" s="77">
        <f t="shared" si="30"/>
        <v>0</v>
      </c>
      <c r="G88" s="77">
        <f t="shared" si="30"/>
        <v>2785160.9899781663</v>
      </c>
      <c r="H88" s="77">
        <f t="shared" si="30"/>
        <v>0</v>
      </c>
      <c r="I88" s="77">
        <f t="shared" si="30"/>
        <v>0</v>
      </c>
      <c r="J88" s="77">
        <f t="shared" si="30"/>
        <v>0</v>
      </c>
      <c r="K88" s="77">
        <f t="shared" si="30"/>
        <v>0</v>
      </c>
      <c r="L88" s="77">
        <f t="shared" si="30"/>
        <v>0</v>
      </c>
      <c r="M88" s="77">
        <f t="shared" si="30"/>
        <v>0</v>
      </c>
      <c r="N88" s="77">
        <f t="shared" si="30"/>
        <v>0</v>
      </c>
      <c r="O88" s="77">
        <f t="shared" si="30"/>
        <v>0</v>
      </c>
      <c r="P88" s="77">
        <f t="shared" si="30"/>
        <v>0</v>
      </c>
      <c r="Q88" s="77">
        <f t="shared" si="30"/>
        <v>0</v>
      </c>
      <c r="R88" s="77">
        <f t="shared" si="30"/>
        <v>0</v>
      </c>
      <c r="S88" s="77">
        <f t="shared" si="30"/>
        <v>0</v>
      </c>
      <c r="T88" s="77">
        <f t="shared" si="30"/>
        <v>0</v>
      </c>
      <c r="U88" s="77">
        <f t="shared" si="30"/>
        <v>0</v>
      </c>
      <c r="V88" s="77">
        <f t="shared" si="30"/>
        <v>0</v>
      </c>
      <c r="W88" s="77">
        <f t="shared" si="30"/>
        <v>0</v>
      </c>
      <c r="X88" s="77">
        <f t="shared" si="30"/>
        <v>0</v>
      </c>
      <c r="Y88" s="77">
        <f t="shared" si="30"/>
        <v>0</v>
      </c>
    </row>
    <row r="89" spans="2:25" x14ac:dyDescent="0.2">
      <c r="B89" s="2" t="s">
        <v>101</v>
      </c>
      <c r="C89" s="83"/>
      <c r="D89" s="83"/>
      <c r="E89" s="34">
        <f>SUM(E78:E85)</f>
        <v>1345.4393365384615</v>
      </c>
      <c r="F89" s="77">
        <f t="shared" ref="F89:Y89" si="31">SUM(F78:F85)</f>
        <v>0</v>
      </c>
      <c r="G89" s="77">
        <f t="shared" si="31"/>
        <v>4305405.8769230768</v>
      </c>
      <c r="H89" s="77">
        <f t="shared" si="31"/>
        <v>0</v>
      </c>
      <c r="I89" s="77">
        <f t="shared" si="31"/>
        <v>0</v>
      </c>
      <c r="J89" s="77">
        <f t="shared" si="31"/>
        <v>0</v>
      </c>
      <c r="K89" s="77">
        <f t="shared" si="31"/>
        <v>0</v>
      </c>
      <c r="L89" s="77">
        <f t="shared" si="31"/>
        <v>0</v>
      </c>
      <c r="M89" s="77">
        <f t="shared" si="31"/>
        <v>0</v>
      </c>
      <c r="N89" s="77">
        <f t="shared" si="31"/>
        <v>0</v>
      </c>
      <c r="O89" s="77">
        <f t="shared" si="31"/>
        <v>0</v>
      </c>
      <c r="P89" s="77">
        <f t="shared" si="31"/>
        <v>0</v>
      </c>
      <c r="Q89" s="77">
        <f t="shared" si="31"/>
        <v>0</v>
      </c>
      <c r="R89" s="77">
        <f t="shared" si="31"/>
        <v>0</v>
      </c>
      <c r="S89" s="77">
        <f t="shared" si="31"/>
        <v>0</v>
      </c>
      <c r="T89" s="77">
        <f t="shared" si="31"/>
        <v>0</v>
      </c>
      <c r="U89" s="77">
        <f t="shared" si="31"/>
        <v>0</v>
      </c>
      <c r="V89" s="77">
        <f t="shared" si="31"/>
        <v>0</v>
      </c>
      <c r="W89" s="77">
        <f t="shared" si="31"/>
        <v>0</v>
      </c>
      <c r="X89" s="77">
        <f t="shared" si="31"/>
        <v>0</v>
      </c>
      <c r="Y89" s="77">
        <f t="shared" si="31"/>
        <v>0</v>
      </c>
    </row>
    <row r="90" spans="2:25" x14ac:dyDescent="0.2">
      <c r="B90" s="1" t="s">
        <v>114</v>
      </c>
      <c r="C90" s="83"/>
      <c r="D90" s="83"/>
      <c r="E90" s="34">
        <f>SUM(E87:E89)</f>
        <v>3348.9120078808692</v>
      </c>
      <c r="F90" s="77">
        <f t="shared" ref="F90:Y90" si="32">SUM(F87:F89)</f>
        <v>0</v>
      </c>
      <c r="G90" s="77">
        <f t="shared" si="32"/>
        <v>10318684.405362781</v>
      </c>
      <c r="H90" s="77">
        <f t="shared" si="32"/>
        <v>0</v>
      </c>
      <c r="I90" s="77">
        <f t="shared" si="32"/>
        <v>0</v>
      </c>
      <c r="J90" s="77">
        <f t="shared" si="32"/>
        <v>0</v>
      </c>
      <c r="K90" s="77">
        <f t="shared" si="32"/>
        <v>0</v>
      </c>
      <c r="L90" s="77">
        <f t="shared" si="32"/>
        <v>0</v>
      </c>
      <c r="M90" s="77">
        <f t="shared" si="32"/>
        <v>0</v>
      </c>
      <c r="N90" s="77">
        <f t="shared" si="32"/>
        <v>0</v>
      </c>
      <c r="O90" s="77">
        <f t="shared" si="32"/>
        <v>0</v>
      </c>
      <c r="P90" s="77">
        <f t="shared" si="32"/>
        <v>0</v>
      </c>
      <c r="Q90" s="77">
        <f t="shared" si="32"/>
        <v>0</v>
      </c>
      <c r="R90" s="77">
        <f t="shared" si="32"/>
        <v>0</v>
      </c>
      <c r="S90" s="77">
        <f t="shared" si="32"/>
        <v>0</v>
      </c>
      <c r="T90" s="77">
        <f t="shared" si="32"/>
        <v>0</v>
      </c>
      <c r="U90" s="77">
        <f t="shared" si="32"/>
        <v>0</v>
      </c>
      <c r="V90" s="77">
        <f t="shared" si="32"/>
        <v>0</v>
      </c>
      <c r="W90" s="77">
        <f t="shared" si="32"/>
        <v>0</v>
      </c>
      <c r="X90" s="77">
        <f t="shared" si="32"/>
        <v>0</v>
      </c>
      <c r="Y90" s="77">
        <f t="shared" si="32"/>
        <v>0</v>
      </c>
    </row>
    <row r="91" spans="2:25" x14ac:dyDescent="0.2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</row>
    <row r="92" spans="2:25" x14ac:dyDescent="0.2">
      <c r="B92" s="1" t="s">
        <v>243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</row>
    <row r="93" spans="2:25" x14ac:dyDescent="0.2">
      <c r="B93" s="1" t="s">
        <v>0</v>
      </c>
      <c r="C93" s="75" t="s">
        <v>229</v>
      </c>
      <c r="D93" s="75" t="s">
        <v>230</v>
      </c>
      <c r="E93" s="75" t="s">
        <v>460</v>
      </c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</row>
    <row r="94" spans="2:25" x14ac:dyDescent="0.2">
      <c r="B94" s="2" t="s">
        <v>69</v>
      </c>
      <c r="C94" s="79">
        <f>+'Inputs Field'!D66</f>
        <v>2</v>
      </c>
      <c r="D94" s="34">
        <f>+'Inputs Field'!F66</f>
        <v>1</v>
      </c>
      <c r="E94" s="34">
        <f>+C94*D94*'Assumptions &amp; Costs'!E$76*(1+'Assumptions &amp; Costs'!C$81)</f>
        <v>11.494999999999999</v>
      </c>
      <c r="F94" s="83"/>
      <c r="G94" s="83">
        <f>+$E94*F$18</f>
        <v>0</v>
      </c>
      <c r="H94" s="83">
        <f t="shared" ref="H94:Y94" si="33">+$E94*G$18</f>
        <v>36784</v>
      </c>
      <c r="I94" s="83">
        <f t="shared" si="33"/>
        <v>0</v>
      </c>
      <c r="J94" s="83">
        <f t="shared" si="33"/>
        <v>0</v>
      </c>
      <c r="K94" s="83">
        <f t="shared" si="33"/>
        <v>0</v>
      </c>
      <c r="L94" s="83">
        <f t="shared" si="33"/>
        <v>0</v>
      </c>
      <c r="M94" s="83">
        <f t="shared" si="33"/>
        <v>0</v>
      </c>
      <c r="N94" s="83">
        <f t="shared" si="33"/>
        <v>0</v>
      </c>
      <c r="O94" s="83">
        <f t="shared" si="33"/>
        <v>0</v>
      </c>
      <c r="P94" s="83">
        <f t="shared" si="33"/>
        <v>0</v>
      </c>
      <c r="Q94" s="83">
        <f t="shared" si="33"/>
        <v>0</v>
      </c>
      <c r="R94" s="83">
        <f t="shared" si="33"/>
        <v>0</v>
      </c>
      <c r="S94" s="83">
        <f t="shared" si="33"/>
        <v>0</v>
      </c>
      <c r="T94" s="83">
        <f t="shared" si="33"/>
        <v>0</v>
      </c>
      <c r="U94" s="83">
        <f t="shared" si="33"/>
        <v>0</v>
      </c>
      <c r="V94" s="83">
        <f t="shared" si="33"/>
        <v>0</v>
      </c>
      <c r="W94" s="83">
        <f t="shared" si="33"/>
        <v>0</v>
      </c>
      <c r="X94" s="83">
        <f t="shared" si="33"/>
        <v>0</v>
      </c>
      <c r="Y94" s="83">
        <f t="shared" si="33"/>
        <v>0</v>
      </c>
    </row>
    <row r="95" spans="2:25" x14ac:dyDescent="0.2">
      <c r="B95" s="2" t="s">
        <v>244</v>
      </c>
      <c r="C95" s="79">
        <f>+'Inputs Field'!D68</f>
        <v>0.4</v>
      </c>
      <c r="D95" s="34">
        <f>+'Inputs Field'!F68</f>
        <v>1</v>
      </c>
      <c r="E95" s="34">
        <f>+C95*D95*'Assumptions &amp; Costs'!E$76*(1+'Assumptions &amp; Costs'!C$81)</f>
        <v>2.2989999999999999</v>
      </c>
      <c r="F95" s="83"/>
      <c r="G95" s="83">
        <f t="shared" ref="G95:Y95" si="34">+$E95*F$18</f>
        <v>0</v>
      </c>
      <c r="H95" s="83">
        <f t="shared" si="34"/>
        <v>7356.8</v>
      </c>
      <c r="I95" s="83">
        <f t="shared" si="34"/>
        <v>0</v>
      </c>
      <c r="J95" s="83">
        <f t="shared" si="34"/>
        <v>0</v>
      </c>
      <c r="K95" s="83">
        <f t="shared" si="34"/>
        <v>0</v>
      </c>
      <c r="L95" s="83">
        <f t="shared" si="34"/>
        <v>0</v>
      </c>
      <c r="M95" s="83">
        <f t="shared" si="34"/>
        <v>0</v>
      </c>
      <c r="N95" s="83">
        <f t="shared" si="34"/>
        <v>0</v>
      </c>
      <c r="O95" s="83">
        <f t="shared" si="34"/>
        <v>0</v>
      </c>
      <c r="P95" s="83">
        <f t="shared" si="34"/>
        <v>0</v>
      </c>
      <c r="Q95" s="83">
        <f t="shared" si="34"/>
        <v>0</v>
      </c>
      <c r="R95" s="83">
        <f t="shared" si="34"/>
        <v>0</v>
      </c>
      <c r="S95" s="83">
        <f t="shared" si="34"/>
        <v>0</v>
      </c>
      <c r="T95" s="83">
        <f t="shared" si="34"/>
        <v>0</v>
      </c>
      <c r="U95" s="83">
        <f t="shared" si="34"/>
        <v>0</v>
      </c>
      <c r="V95" s="83">
        <f t="shared" si="34"/>
        <v>0</v>
      </c>
      <c r="W95" s="83">
        <f t="shared" si="34"/>
        <v>0</v>
      </c>
      <c r="X95" s="83">
        <f t="shared" si="34"/>
        <v>0</v>
      </c>
      <c r="Y95" s="83">
        <f t="shared" si="34"/>
        <v>0</v>
      </c>
    </row>
    <row r="96" spans="2:25" x14ac:dyDescent="0.2">
      <c r="B96" s="2" t="s">
        <v>68</v>
      </c>
      <c r="C96" s="79">
        <f>+'Inputs Field'!D71</f>
        <v>3</v>
      </c>
      <c r="D96" s="34">
        <f>+'Inputs Field'!F71</f>
        <v>6</v>
      </c>
      <c r="E96" s="34">
        <f>+C96*D96*'Assumptions &amp; Costs'!E$76*(1+'Assumptions &amp; Costs'!C$81)</f>
        <v>103.455</v>
      </c>
      <c r="F96" s="83"/>
      <c r="G96" s="83">
        <f t="shared" ref="G96:Y96" si="35">+$E96*F$18</f>
        <v>0</v>
      </c>
      <c r="H96" s="83">
        <f t="shared" si="35"/>
        <v>331056</v>
      </c>
      <c r="I96" s="83">
        <f t="shared" si="35"/>
        <v>0</v>
      </c>
      <c r="J96" s="83">
        <f t="shared" si="35"/>
        <v>0</v>
      </c>
      <c r="K96" s="83">
        <f t="shared" si="35"/>
        <v>0</v>
      </c>
      <c r="L96" s="83">
        <f t="shared" si="35"/>
        <v>0</v>
      </c>
      <c r="M96" s="83">
        <f t="shared" si="35"/>
        <v>0</v>
      </c>
      <c r="N96" s="83">
        <f t="shared" si="35"/>
        <v>0</v>
      </c>
      <c r="O96" s="83">
        <f t="shared" si="35"/>
        <v>0</v>
      </c>
      <c r="P96" s="83">
        <f t="shared" si="35"/>
        <v>0</v>
      </c>
      <c r="Q96" s="83">
        <f t="shared" si="35"/>
        <v>0</v>
      </c>
      <c r="R96" s="83">
        <f t="shared" si="35"/>
        <v>0</v>
      </c>
      <c r="S96" s="83">
        <f t="shared" si="35"/>
        <v>0</v>
      </c>
      <c r="T96" s="83">
        <f t="shared" si="35"/>
        <v>0</v>
      </c>
      <c r="U96" s="83">
        <f t="shared" si="35"/>
        <v>0</v>
      </c>
      <c r="V96" s="83">
        <f t="shared" si="35"/>
        <v>0</v>
      </c>
      <c r="W96" s="83">
        <f t="shared" si="35"/>
        <v>0</v>
      </c>
      <c r="X96" s="83">
        <f t="shared" si="35"/>
        <v>0</v>
      </c>
      <c r="Y96" s="83">
        <f t="shared" si="35"/>
        <v>0</v>
      </c>
    </row>
    <row r="97" spans="2:25" x14ac:dyDescent="0.2">
      <c r="B97" s="2" t="s">
        <v>24</v>
      </c>
      <c r="C97" s="79">
        <f>+'Inputs Field'!D72</f>
        <v>0.5</v>
      </c>
      <c r="D97" s="34">
        <f>+'Inputs Field'!F72</f>
        <v>6</v>
      </c>
      <c r="E97" s="34">
        <f>+C97*D97*'Assumptions &amp; Costs'!E$75*(1+'Assumptions &amp; Costs'!C$81)</f>
        <v>18.809999999999999</v>
      </c>
      <c r="F97" s="83"/>
      <c r="G97" s="83">
        <f t="shared" ref="G97:Y97" si="36">+$E97*F$18</f>
        <v>0</v>
      </c>
      <c r="H97" s="83">
        <f t="shared" si="36"/>
        <v>60191.999999999993</v>
      </c>
      <c r="I97" s="83">
        <f t="shared" si="36"/>
        <v>0</v>
      </c>
      <c r="J97" s="83">
        <f t="shared" si="36"/>
        <v>0</v>
      </c>
      <c r="K97" s="83">
        <f t="shared" si="36"/>
        <v>0</v>
      </c>
      <c r="L97" s="83">
        <f t="shared" si="36"/>
        <v>0</v>
      </c>
      <c r="M97" s="83">
        <f t="shared" si="36"/>
        <v>0</v>
      </c>
      <c r="N97" s="83">
        <f t="shared" si="36"/>
        <v>0</v>
      </c>
      <c r="O97" s="83">
        <f t="shared" si="36"/>
        <v>0</v>
      </c>
      <c r="P97" s="83">
        <f t="shared" si="36"/>
        <v>0</v>
      </c>
      <c r="Q97" s="83">
        <f t="shared" si="36"/>
        <v>0</v>
      </c>
      <c r="R97" s="83">
        <f t="shared" si="36"/>
        <v>0</v>
      </c>
      <c r="S97" s="83">
        <f t="shared" si="36"/>
        <v>0</v>
      </c>
      <c r="T97" s="83">
        <f t="shared" si="36"/>
        <v>0</v>
      </c>
      <c r="U97" s="83">
        <f t="shared" si="36"/>
        <v>0</v>
      </c>
      <c r="V97" s="83">
        <f t="shared" si="36"/>
        <v>0</v>
      </c>
      <c r="W97" s="83">
        <f t="shared" si="36"/>
        <v>0</v>
      </c>
      <c r="X97" s="83">
        <f t="shared" si="36"/>
        <v>0</v>
      </c>
      <c r="Y97" s="83">
        <f t="shared" si="36"/>
        <v>0</v>
      </c>
    </row>
    <row r="98" spans="2:25" x14ac:dyDescent="0.2">
      <c r="B98" s="2" t="s">
        <v>23</v>
      </c>
      <c r="C98" s="79">
        <f>+'Inputs Field'!D73</f>
        <v>2</v>
      </c>
      <c r="D98" s="34">
        <f>+'Inputs Field'!F73</f>
        <v>12</v>
      </c>
      <c r="E98" s="34">
        <f>+C98*D98*'Assumptions &amp; Costs'!E$76*(1+'Assumptions &amp; Costs'!C$81)</f>
        <v>137.94</v>
      </c>
      <c r="F98" s="83"/>
      <c r="G98" s="83">
        <f t="shared" ref="G98:Y98" si="37">+$E98*F$18</f>
        <v>0</v>
      </c>
      <c r="H98" s="83">
        <f t="shared" si="37"/>
        <v>441408</v>
      </c>
      <c r="I98" s="83">
        <f t="shared" si="37"/>
        <v>0</v>
      </c>
      <c r="J98" s="83">
        <f t="shared" si="37"/>
        <v>0</v>
      </c>
      <c r="K98" s="83">
        <f t="shared" si="37"/>
        <v>0</v>
      </c>
      <c r="L98" s="83">
        <f t="shared" si="37"/>
        <v>0</v>
      </c>
      <c r="M98" s="83">
        <f t="shared" si="37"/>
        <v>0</v>
      </c>
      <c r="N98" s="83">
        <f t="shared" si="37"/>
        <v>0</v>
      </c>
      <c r="O98" s="83">
        <f t="shared" si="37"/>
        <v>0</v>
      </c>
      <c r="P98" s="83">
        <f t="shared" si="37"/>
        <v>0</v>
      </c>
      <c r="Q98" s="83">
        <f t="shared" si="37"/>
        <v>0</v>
      </c>
      <c r="R98" s="83">
        <f t="shared" si="37"/>
        <v>0</v>
      </c>
      <c r="S98" s="83">
        <f t="shared" si="37"/>
        <v>0</v>
      </c>
      <c r="T98" s="83">
        <f t="shared" si="37"/>
        <v>0</v>
      </c>
      <c r="U98" s="83">
        <f t="shared" si="37"/>
        <v>0</v>
      </c>
      <c r="V98" s="83">
        <f t="shared" si="37"/>
        <v>0</v>
      </c>
      <c r="W98" s="83">
        <f t="shared" si="37"/>
        <v>0</v>
      </c>
      <c r="X98" s="83">
        <f t="shared" si="37"/>
        <v>0</v>
      </c>
      <c r="Y98" s="83">
        <f t="shared" si="37"/>
        <v>0</v>
      </c>
    </row>
    <row r="99" spans="2:25" x14ac:dyDescent="0.2">
      <c r="B99" s="2" t="s">
        <v>13</v>
      </c>
      <c r="C99" s="79">
        <f>+'Inputs Field'!D74</f>
        <v>1</v>
      </c>
      <c r="D99" s="34">
        <f>+'Inputs Field'!F74</f>
        <v>2</v>
      </c>
      <c r="E99" s="34">
        <f>+C99*D99*'Assumptions &amp; Costs'!E$76*(1+'Assumptions &amp; Costs'!C$81)</f>
        <v>11.494999999999999</v>
      </c>
      <c r="F99" s="83"/>
      <c r="G99" s="83">
        <f t="shared" ref="G99:Y99" si="38">+$E99*F$18</f>
        <v>0</v>
      </c>
      <c r="H99" s="83">
        <f t="shared" si="38"/>
        <v>36784</v>
      </c>
      <c r="I99" s="83">
        <f t="shared" si="38"/>
        <v>0</v>
      </c>
      <c r="J99" s="83">
        <f t="shared" si="38"/>
        <v>0</v>
      </c>
      <c r="K99" s="83">
        <f t="shared" si="38"/>
        <v>0</v>
      </c>
      <c r="L99" s="83">
        <f t="shared" si="38"/>
        <v>0</v>
      </c>
      <c r="M99" s="83">
        <f t="shared" si="38"/>
        <v>0</v>
      </c>
      <c r="N99" s="83">
        <f t="shared" si="38"/>
        <v>0</v>
      </c>
      <c r="O99" s="83">
        <f t="shared" si="38"/>
        <v>0</v>
      </c>
      <c r="P99" s="83">
        <f t="shared" si="38"/>
        <v>0</v>
      </c>
      <c r="Q99" s="83">
        <f t="shared" si="38"/>
        <v>0</v>
      </c>
      <c r="R99" s="83">
        <f t="shared" si="38"/>
        <v>0</v>
      </c>
      <c r="S99" s="83">
        <f t="shared" si="38"/>
        <v>0</v>
      </c>
      <c r="T99" s="83">
        <f t="shared" si="38"/>
        <v>0</v>
      </c>
      <c r="U99" s="83">
        <f t="shared" si="38"/>
        <v>0</v>
      </c>
      <c r="V99" s="83">
        <f t="shared" si="38"/>
        <v>0</v>
      </c>
      <c r="W99" s="83">
        <f t="shared" si="38"/>
        <v>0</v>
      </c>
      <c r="X99" s="83">
        <f t="shared" si="38"/>
        <v>0</v>
      </c>
      <c r="Y99" s="83">
        <f t="shared" si="38"/>
        <v>0</v>
      </c>
    </row>
    <row r="100" spans="2:25" x14ac:dyDescent="0.2">
      <c r="B100" s="2" t="s">
        <v>34</v>
      </c>
      <c r="C100" s="79">
        <f>+'Inputs Field'!D76</f>
        <v>0.5</v>
      </c>
      <c r="D100" s="34">
        <f>+'Inputs Field'!F76</f>
        <v>6</v>
      </c>
      <c r="E100" s="34">
        <f>+C100*D100*'Assumptions &amp; Costs'!E$76*(1+'Assumptions &amp; Costs'!C$81)</f>
        <v>17.2425</v>
      </c>
      <c r="F100" s="83"/>
      <c r="G100" s="83">
        <f t="shared" ref="G100:Y100" si="39">+$E100*F$18</f>
        <v>0</v>
      </c>
      <c r="H100" s="83">
        <f t="shared" si="39"/>
        <v>55176</v>
      </c>
      <c r="I100" s="83">
        <f t="shared" si="39"/>
        <v>0</v>
      </c>
      <c r="J100" s="83">
        <f t="shared" si="39"/>
        <v>0</v>
      </c>
      <c r="K100" s="83">
        <f t="shared" si="39"/>
        <v>0</v>
      </c>
      <c r="L100" s="83">
        <f t="shared" si="39"/>
        <v>0</v>
      </c>
      <c r="M100" s="83">
        <f t="shared" si="39"/>
        <v>0</v>
      </c>
      <c r="N100" s="83">
        <f t="shared" si="39"/>
        <v>0</v>
      </c>
      <c r="O100" s="83">
        <f t="shared" si="39"/>
        <v>0</v>
      </c>
      <c r="P100" s="83">
        <f t="shared" si="39"/>
        <v>0</v>
      </c>
      <c r="Q100" s="83">
        <f t="shared" si="39"/>
        <v>0</v>
      </c>
      <c r="R100" s="83">
        <f t="shared" si="39"/>
        <v>0</v>
      </c>
      <c r="S100" s="83">
        <f t="shared" si="39"/>
        <v>0</v>
      </c>
      <c r="T100" s="83">
        <f t="shared" si="39"/>
        <v>0</v>
      </c>
      <c r="U100" s="83">
        <f t="shared" si="39"/>
        <v>0</v>
      </c>
      <c r="V100" s="83">
        <f t="shared" si="39"/>
        <v>0</v>
      </c>
      <c r="W100" s="83">
        <f t="shared" si="39"/>
        <v>0</v>
      </c>
      <c r="X100" s="83">
        <f t="shared" si="39"/>
        <v>0</v>
      </c>
      <c r="Y100" s="83">
        <f t="shared" si="39"/>
        <v>0</v>
      </c>
    </row>
    <row r="101" spans="2:25" x14ac:dyDescent="0.2">
      <c r="B101" s="2" t="s">
        <v>33</v>
      </c>
      <c r="C101" s="79">
        <f>+'Inputs Field'!D77</f>
        <v>0.2</v>
      </c>
      <c r="D101" s="34">
        <f>+'Inputs Field'!F77</f>
        <v>1</v>
      </c>
      <c r="E101" s="34">
        <f>+C101*D101*'Assumptions &amp; Costs'!E$76*(1+'Assumptions &amp; Costs'!C$81)</f>
        <v>1.1495</v>
      </c>
      <c r="F101" s="83"/>
      <c r="G101" s="83">
        <f t="shared" ref="G101:Y101" si="40">+$E101*F$18</f>
        <v>0</v>
      </c>
      <c r="H101" s="83">
        <f t="shared" si="40"/>
        <v>3678.4</v>
      </c>
      <c r="I101" s="83">
        <f t="shared" si="40"/>
        <v>0</v>
      </c>
      <c r="J101" s="83">
        <f t="shared" si="40"/>
        <v>0</v>
      </c>
      <c r="K101" s="83">
        <f t="shared" si="40"/>
        <v>0</v>
      </c>
      <c r="L101" s="83">
        <f t="shared" si="40"/>
        <v>0</v>
      </c>
      <c r="M101" s="83">
        <f t="shared" si="40"/>
        <v>0</v>
      </c>
      <c r="N101" s="83">
        <f t="shared" si="40"/>
        <v>0</v>
      </c>
      <c r="O101" s="83">
        <f t="shared" si="40"/>
        <v>0</v>
      </c>
      <c r="P101" s="83">
        <f t="shared" si="40"/>
        <v>0</v>
      </c>
      <c r="Q101" s="83">
        <f t="shared" si="40"/>
        <v>0</v>
      </c>
      <c r="R101" s="83">
        <f t="shared" si="40"/>
        <v>0</v>
      </c>
      <c r="S101" s="83">
        <f t="shared" si="40"/>
        <v>0</v>
      </c>
      <c r="T101" s="83">
        <f t="shared" si="40"/>
        <v>0</v>
      </c>
      <c r="U101" s="83">
        <f t="shared" si="40"/>
        <v>0</v>
      </c>
      <c r="V101" s="83">
        <f t="shared" si="40"/>
        <v>0</v>
      </c>
      <c r="W101" s="83">
        <f t="shared" si="40"/>
        <v>0</v>
      </c>
      <c r="X101" s="83">
        <f t="shared" si="40"/>
        <v>0</v>
      </c>
      <c r="Y101" s="83">
        <f t="shared" si="40"/>
        <v>0</v>
      </c>
    </row>
    <row r="102" spans="2:25" x14ac:dyDescent="0.2">
      <c r="B102" s="2" t="s">
        <v>26</v>
      </c>
      <c r="C102" s="79">
        <f>+'Inputs Field'!D79</f>
        <v>1</v>
      </c>
      <c r="D102" s="34">
        <f>+'Inputs Field'!F79</f>
        <v>1</v>
      </c>
      <c r="E102" s="34">
        <f>+C102*D102*'Assumptions &amp; Costs'!E$76*(1+'Assumptions &amp; Costs'!C$81)</f>
        <v>5.7474999999999996</v>
      </c>
      <c r="F102" s="83"/>
      <c r="G102" s="83">
        <f t="shared" ref="G102:Y102" si="41">+$E102*F$18</f>
        <v>0</v>
      </c>
      <c r="H102" s="83">
        <f t="shared" si="41"/>
        <v>18392</v>
      </c>
      <c r="I102" s="83">
        <f t="shared" si="41"/>
        <v>0</v>
      </c>
      <c r="J102" s="83">
        <f t="shared" si="41"/>
        <v>0</v>
      </c>
      <c r="K102" s="83">
        <f t="shared" si="41"/>
        <v>0</v>
      </c>
      <c r="L102" s="83">
        <f t="shared" si="41"/>
        <v>0</v>
      </c>
      <c r="M102" s="83">
        <f t="shared" si="41"/>
        <v>0</v>
      </c>
      <c r="N102" s="83">
        <f t="shared" si="41"/>
        <v>0</v>
      </c>
      <c r="O102" s="83">
        <f t="shared" si="41"/>
        <v>0</v>
      </c>
      <c r="P102" s="83">
        <f t="shared" si="41"/>
        <v>0</v>
      </c>
      <c r="Q102" s="83">
        <f t="shared" si="41"/>
        <v>0</v>
      </c>
      <c r="R102" s="83">
        <f t="shared" si="41"/>
        <v>0</v>
      </c>
      <c r="S102" s="83">
        <f t="shared" si="41"/>
        <v>0</v>
      </c>
      <c r="T102" s="83">
        <f t="shared" si="41"/>
        <v>0</v>
      </c>
      <c r="U102" s="83">
        <f t="shared" si="41"/>
        <v>0</v>
      </c>
      <c r="V102" s="83">
        <f t="shared" si="41"/>
        <v>0</v>
      </c>
      <c r="W102" s="83">
        <f t="shared" si="41"/>
        <v>0</v>
      </c>
      <c r="X102" s="83">
        <f t="shared" si="41"/>
        <v>0</v>
      </c>
      <c r="Y102" s="83">
        <f t="shared" si="41"/>
        <v>0</v>
      </c>
    </row>
    <row r="103" spans="2:25" x14ac:dyDescent="0.2">
      <c r="B103" s="2" t="s">
        <v>31</v>
      </c>
      <c r="C103" s="79">
        <f>+'Inputs Field'!D80</f>
        <v>1</v>
      </c>
      <c r="D103" s="34">
        <f>+'Inputs Field'!F80</f>
        <v>1</v>
      </c>
      <c r="E103" s="34">
        <f>+C103*D103*'Assumptions &amp; Costs'!E$76*(1+'Assumptions &amp; Costs'!C$81)</f>
        <v>5.7474999999999996</v>
      </c>
      <c r="F103" s="83"/>
      <c r="G103" s="83">
        <f t="shared" ref="G103:Y103" si="42">+$E103*F$18</f>
        <v>0</v>
      </c>
      <c r="H103" s="83">
        <f t="shared" si="42"/>
        <v>18392</v>
      </c>
      <c r="I103" s="83">
        <f t="shared" si="42"/>
        <v>0</v>
      </c>
      <c r="J103" s="83">
        <f t="shared" si="42"/>
        <v>0</v>
      </c>
      <c r="K103" s="83">
        <f t="shared" si="42"/>
        <v>0</v>
      </c>
      <c r="L103" s="83">
        <f t="shared" si="42"/>
        <v>0</v>
      </c>
      <c r="M103" s="83">
        <f t="shared" si="42"/>
        <v>0</v>
      </c>
      <c r="N103" s="83">
        <f t="shared" si="42"/>
        <v>0</v>
      </c>
      <c r="O103" s="83">
        <f t="shared" si="42"/>
        <v>0</v>
      </c>
      <c r="P103" s="83">
        <f t="shared" si="42"/>
        <v>0</v>
      </c>
      <c r="Q103" s="83">
        <f t="shared" si="42"/>
        <v>0</v>
      </c>
      <c r="R103" s="83">
        <f t="shared" si="42"/>
        <v>0</v>
      </c>
      <c r="S103" s="83">
        <f t="shared" si="42"/>
        <v>0</v>
      </c>
      <c r="T103" s="83">
        <f t="shared" si="42"/>
        <v>0</v>
      </c>
      <c r="U103" s="83">
        <f t="shared" si="42"/>
        <v>0</v>
      </c>
      <c r="V103" s="83">
        <f t="shared" si="42"/>
        <v>0</v>
      </c>
      <c r="W103" s="83">
        <f t="shared" si="42"/>
        <v>0</v>
      </c>
      <c r="X103" s="83">
        <f t="shared" si="42"/>
        <v>0</v>
      </c>
      <c r="Y103" s="83">
        <f t="shared" si="42"/>
        <v>0</v>
      </c>
    </row>
    <row r="104" spans="2:25" x14ac:dyDescent="0.2">
      <c r="B104" s="2" t="s">
        <v>58</v>
      </c>
      <c r="C104" s="79">
        <f>+'Inputs Field'!D81</f>
        <v>1</v>
      </c>
      <c r="D104" s="34">
        <f>+'Inputs Field'!F81</f>
        <v>1</v>
      </c>
      <c r="E104" s="34">
        <f>+C104*D104*'Assumptions &amp; Costs'!E$76*(1+'Assumptions &amp; Costs'!C$81)</f>
        <v>5.7474999999999996</v>
      </c>
      <c r="F104" s="83"/>
      <c r="G104" s="83">
        <f t="shared" ref="G104:Y104" si="43">+$E104*F$18</f>
        <v>0</v>
      </c>
      <c r="H104" s="83">
        <f t="shared" si="43"/>
        <v>18392</v>
      </c>
      <c r="I104" s="83">
        <f t="shared" si="43"/>
        <v>0</v>
      </c>
      <c r="J104" s="83">
        <f t="shared" si="43"/>
        <v>0</v>
      </c>
      <c r="K104" s="83">
        <f t="shared" si="43"/>
        <v>0</v>
      </c>
      <c r="L104" s="83">
        <f t="shared" si="43"/>
        <v>0</v>
      </c>
      <c r="M104" s="83">
        <f t="shared" si="43"/>
        <v>0</v>
      </c>
      <c r="N104" s="83">
        <f t="shared" si="43"/>
        <v>0</v>
      </c>
      <c r="O104" s="83">
        <f t="shared" si="43"/>
        <v>0</v>
      </c>
      <c r="P104" s="83">
        <f t="shared" si="43"/>
        <v>0</v>
      </c>
      <c r="Q104" s="83">
        <f t="shared" si="43"/>
        <v>0</v>
      </c>
      <c r="R104" s="83">
        <f t="shared" si="43"/>
        <v>0</v>
      </c>
      <c r="S104" s="83">
        <f t="shared" si="43"/>
        <v>0</v>
      </c>
      <c r="T104" s="83">
        <f t="shared" si="43"/>
        <v>0</v>
      </c>
      <c r="U104" s="83">
        <f t="shared" si="43"/>
        <v>0</v>
      </c>
      <c r="V104" s="83">
        <f t="shared" si="43"/>
        <v>0</v>
      </c>
      <c r="W104" s="83">
        <f t="shared" si="43"/>
        <v>0</v>
      </c>
      <c r="X104" s="83">
        <f t="shared" si="43"/>
        <v>0</v>
      </c>
      <c r="Y104" s="83">
        <f t="shared" si="43"/>
        <v>0</v>
      </c>
    </row>
    <row r="105" spans="2:25" x14ac:dyDescent="0.2">
      <c r="B105" s="2" t="s">
        <v>46</v>
      </c>
      <c r="C105" s="76">
        <f>+'Inputs Field'!D84</f>
        <v>0.1</v>
      </c>
      <c r="D105" s="34"/>
      <c r="E105" s="34">
        <f>SUMPRODUCT(C$94:C$104,D$94:D$104)*C105*'Assumptions &amp; Costs'!E78*(1+'Assumptions &amp; Costs'!C$81)</f>
        <v>43.576500000000003</v>
      </c>
      <c r="F105" s="83"/>
      <c r="G105" s="83">
        <f t="shared" ref="G105:Y105" si="44">+$E105*F$18</f>
        <v>0</v>
      </c>
      <c r="H105" s="83">
        <f t="shared" si="44"/>
        <v>139444.80000000002</v>
      </c>
      <c r="I105" s="83">
        <f t="shared" si="44"/>
        <v>0</v>
      </c>
      <c r="J105" s="83">
        <f t="shared" si="44"/>
        <v>0</v>
      </c>
      <c r="K105" s="83">
        <f t="shared" si="44"/>
        <v>0</v>
      </c>
      <c r="L105" s="83">
        <f t="shared" si="44"/>
        <v>0</v>
      </c>
      <c r="M105" s="83">
        <f t="shared" si="44"/>
        <v>0</v>
      </c>
      <c r="N105" s="83">
        <f t="shared" si="44"/>
        <v>0</v>
      </c>
      <c r="O105" s="83">
        <f t="shared" si="44"/>
        <v>0</v>
      </c>
      <c r="P105" s="83">
        <f t="shared" si="44"/>
        <v>0</v>
      </c>
      <c r="Q105" s="83">
        <f t="shared" si="44"/>
        <v>0</v>
      </c>
      <c r="R105" s="83">
        <f t="shared" si="44"/>
        <v>0</v>
      </c>
      <c r="S105" s="83">
        <f t="shared" si="44"/>
        <v>0</v>
      </c>
      <c r="T105" s="83">
        <f t="shared" si="44"/>
        <v>0</v>
      </c>
      <c r="U105" s="83">
        <f t="shared" si="44"/>
        <v>0</v>
      </c>
      <c r="V105" s="83">
        <f t="shared" si="44"/>
        <v>0</v>
      </c>
      <c r="W105" s="83">
        <f t="shared" si="44"/>
        <v>0</v>
      </c>
      <c r="X105" s="83">
        <f t="shared" si="44"/>
        <v>0</v>
      </c>
      <c r="Y105" s="83">
        <f t="shared" si="44"/>
        <v>0</v>
      </c>
    </row>
    <row r="106" spans="2:25" x14ac:dyDescent="0.2">
      <c r="B106" s="2" t="s">
        <v>47</v>
      </c>
      <c r="C106" s="76">
        <f>+'Inputs Field'!D85</f>
        <v>0.05</v>
      </c>
      <c r="D106" s="34"/>
      <c r="E106" s="34">
        <f>SUMPRODUCT(C$94:C$104,D$94:D$104)*C106*'Assumptions &amp; Costs'!E79*(1+'Assumptions &amp; Costs'!C$81)</f>
        <v>83.80096153846155</v>
      </c>
      <c r="F106" s="83"/>
      <c r="G106" s="83">
        <f t="shared" ref="G106:Y106" si="45">+$E106*F$18</f>
        <v>0</v>
      </c>
      <c r="H106" s="83">
        <f t="shared" si="45"/>
        <v>268163.07692307694</v>
      </c>
      <c r="I106" s="83">
        <f t="shared" si="45"/>
        <v>0</v>
      </c>
      <c r="J106" s="83">
        <f t="shared" si="45"/>
        <v>0</v>
      </c>
      <c r="K106" s="83">
        <f t="shared" si="45"/>
        <v>0</v>
      </c>
      <c r="L106" s="83">
        <f t="shared" si="45"/>
        <v>0</v>
      </c>
      <c r="M106" s="83">
        <f t="shared" si="45"/>
        <v>0</v>
      </c>
      <c r="N106" s="83">
        <f t="shared" si="45"/>
        <v>0</v>
      </c>
      <c r="O106" s="83">
        <f t="shared" si="45"/>
        <v>0</v>
      </c>
      <c r="P106" s="83">
        <f t="shared" si="45"/>
        <v>0</v>
      </c>
      <c r="Q106" s="83">
        <f t="shared" si="45"/>
        <v>0</v>
      </c>
      <c r="R106" s="83">
        <f t="shared" si="45"/>
        <v>0</v>
      </c>
      <c r="S106" s="83">
        <f t="shared" si="45"/>
        <v>0</v>
      </c>
      <c r="T106" s="83">
        <f t="shared" si="45"/>
        <v>0</v>
      </c>
      <c r="U106" s="83">
        <f t="shared" si="45"/>
        <v>0</v>
      </c>
      <c r="V106" s="83">
        <f t="shared" si="45"/>
        <v>0</v>
      </c>
      <c r="W106" s="83">
        <f t="shared" si="45"/>
        <v>0</v>
      </c>
      <c r="X106" s="83">
        <f t="shared" si="45"/>
        <v>0</v>
      </c>
      <c r="Y106" s="83">
        <f t="shared" si="45"/>
        <v>0</v>
      </c>
    </row>
    <row r="107" spans="2:25" x14ac:dyDescent="0.2">
      <c r="B107" s="1" t="s">
        <v>1</v>
      </c>
      <c r="C107" s="83"/>
      <c r="D107" s="83"/>
      <c r="E107" s="34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</row>
    <row r="108" spans="2:25" x14ac:dyDescent="0.2">
      <c r="B108" s="2" t="s">
        <v>237</v>
      </c>
      <c r="C108" s="34">
        <f>+'Inputs Field'!H68</f>
        <v>7</v>
      </c>
      <c r="D108" s="34"/>
      <c r="E108" s="34">
        <f>+C108*'Assumptions &amp; Costs'!C66</f>
        <v>3.5</v>
      </c>
      <c r="F108" s="83"/>
      <c r="G108" s="83">
        <f t="shared" ref="G108:Y109" si="46">+$E108*F$18</f>
        <v>0</v>
      </c>
      <c r="H108" s="83">
        <f t="shared" si="46"/>
        <v>11200</v>
      </c>
      <c r="I108" s="83">
        <f t="shared" si="46"/>
        <v>0</v>
      </c>
      <c r="J108" s="83">
        <f t="shared" si="46"/>
        <v>0</v>
      </c>
      <c r="K108" s="83">
        <f t="shared" si="46"/>
        <v>0</v>
      </c>
      <c r="L108" s="83">
        <f t="shared" si="46"/>
        <v>0</v>
      </c>
      <c r="M108" s="83">
        <f t="shared" si="46"/>
        <v>0</v>
      </c>
      <c r="N108" s="83">
        <f t="shared" si="46"/>
        <v>0</v>
      </c>
      <c r="O108" s="83">
        <f t="shared" si="46"/>
        <v>0</v>
      </c>
      <c r="P108" s="83">
        <f t="shared" si="46"/>
        <v>0</v>
      </c>
      <c r="Q108" s="83">
        <f t="shared" si="46"/>
        <v>0</v>
      </c>
      <c r="R108" s="83">
        <f t="shared" si="46"/>
        <v>0</v>
      </c>
      <c r="S108" s="83">
        <f t="shared" si="46"/>
        <v>0</v>
      </c>
      <c r="T108" s="83">
        <f t="shared" si="46"/>
        <v>0</v>
      </c>
      <c r="U108" s="83">
        <f t="shared" si="46"/>
        <v>0</v>
      </c>
      <c r="V108" s="83">
        <f t="shared" si="46"/>
        <v>0</v>
      </c>
      <c r="W108" s="83">
        <f t="shared" si="46"/>
        <v>0</v>
      </c>
      <c r="X108" s="83">
        <f t="shared" si="46"/>
        <v>0</v>
      </c>
      <c r="Y108" s="83">
        <f t="shared" si="46"/>
        <v>0</v>
      </c>
    </row>
    <row r="109" spans="2:25" s="129" customFormat="1" x14ac:dyDescent="0.2">
      <c r="B109" s="129" t="s">
        <v>562</v>
      </c>
      <c r="C109" s="34">
        <f>+'Inputs Field'!H68</f>
        <v>7</v>
      </c>
      <c r="D109" s="34"/>
      <c r="E109" s="34">
        <f>+C109*Nursery!J72</f>
        <v>29.415113426918417</v>
      </c>
      <c r="F109" s="123"/>
      <c r="G109" s="123">
        <f t="shared" si="46"/>
        <v>0</v>
      </c>
      <c r="H109" s="123">
        <f t="shared" si="46"/>
        <v>94128.362966138928</v>
      </c>
      <c r="I109" s="123">
        <f t="shared" si="46"/>
        <v>0</v>
      </c>
      <c r="J109" s="123">
        <f t="shared" si="46"/>
        <v>0</v>
      </c>
      <c r="K109" s="123">
        <f t="shared" si="46"/>
        <v>0</v>
      </c>
      <c r="L109" s="123">
        <f t="shared" si="46"/>
        <v>0</v>
      </c>
      <c r="M109" s="123">
        <f t="shared" si="46"/>
        <v>0</v>
      </c>
      <c r="N109" s="123">
        <f t="shared" si="46"/>
        <v>0</v>
      </c>
      <c r="O109" s="123">
        <f t="shared" si="46"/>
        <v>0</v>
      </c>
      <c r="P109" s="123">
        <f t="shared" si="46"/>
        <v>0</v>
      </c>
      <c r="Q109" s="123">
        <f t="shared" si="46"/>
        <v>0</v>
      </c>
      <c r="R109" s="123">
        <f t="shared" si="46"/>
        <v>0</v>
      </c>
      <c r="S109" s="123">
        <f t="shared" si="46"/>
        <v>0</v>
      </c>
      <c r="T109" s="123">
        <f t="shared" si="46"/>
        <v>0</v>
      </c>
      <c r="U109" s="123">
        <f t="shared" si="46"/>
        <v>0</v>
      </c>
      <c r="V109" s="123">
        <f t="shared" si="46"/>
        <v>0</v>
      </c>
      <c r="W109" s="123">
        <f t="shared" si="46"/>
        <v>0</v>
      </c>
      <c r="X109" s="123">
        <f t="shared" si="46"/>
        <v>0</v>
      </c>
      <c r="Y109" s="123">
        <f t="shared" si="46"/>
        <v>0</v>
      </c>
    </row>
    <row r="110" spans="2:25" x14ac:dyDescent="0.2">
      <c r="B110" s="2" t="s">
        <v>563</v>
      </c>
      <c r="C110" s="73">
        <f>+'Inputs Field'!H70</f>
        <v>0.5</v>
      </c>
      <c r="D110" s="34"/>
      <c r="E110" s="34">
        <f>+C110*C108*('Assumptions &amp; Costs'!C71+'Assumptions &amp; Costs'!C72)/1000</f>
        <v>1.60825</v>
      </c>
      <c r="F110" s="83"/>
      <c r="G110" s="83">
        <f t="shared" ref="G110:Y110" si="47">+$E110*F$18</f>
        <v>0</v>
      </c>
      <c r="H110" s="83">
        <f t="shared" si="47"/>
        <v>5146.3999999999996</v>
      </c>
      <c r="I110" s="83">
        <f t="shared" si="47"/>
        <v>0</v>
      </c>
      <c r="J110" s="83">
        <f t="shared" si="47"/>
        <v>0</v>
      </c>
      <c r="K110" s="83">
        <f t="shared" si="47"/>
        <v>0</v>
      </c>
      <c r="L110" s="83">
        <f t="shared" si="47"/>
        <v>0</v>
      </c>
      <c r="M110" s="83">
        <f t="shared" si="47"/>
        <v>0</v>
      </c>
      <c r="N110" s="83">
        <f t="shared" si="47"/>
        <v>0</v>
      </c>
      <c r="O110" s="83">
        <f t="shared" si="47"/>
        <v>0</v>
      </c>
      <c r="P110" s="83">
        <f t="shared" si="47"/>
        <v>0</v>
      </c>
      <c r="Q110" s="83">
        <f t="shared" si="47"/>
        <v>0</v>
      </c>
      <c r="R110" s="83">
        <f t="shared" si="47"/>
        <v>0</v>
      </c>
      <c r="S110" s="83">
        <f t="shared" si="47"/>
        <v>0</v>
      </c>
      <c r="T110" s="83">
        <f t="shared" si="47"/>
        <v>0</v>
      </c>
      <c r="U110" s="83">
        <f t="shared" si="47"/>
        <v>0</v>
      </c>
      <c r="V110" s="83">
        <f t="shared" si="47"/>
        <v>0</v>
      </c>
      <c r="W110" s="83">
        <f t="shared" si="47"/>
        <v>0</v>
      </c>
      <c r="X110" s="83">
        <f t="shared" si="47"/>
        <v>0</v>
      </c>
      <c r="Y110" s="83">
        <f t="shared" si="47"/>
        <v>0</v>
      </c>
    </row>
    <row r="111" spans="2:25" x14ac:dyDescent="0.2">
      <c r="B111" s="2" t="s">
        <v>239</v>
      </c>
      <c r="C111" s="73">
        <f>+'Inputs Field'!H72</f>
        <v>1</v>
      </c>
      <c r="D111" s="34">
        <f>+'Inputs Field'!F72</f>
        <v>6</v>
      </c>
      <c r="E111" s="34">
        <f>+D111*C111*'Assumptions &amp; Costs'!C65</f>
        <v>60</v>
      </c>
      <c r="F111" s="83"/>
      <c r="G111" s="83">
        <f t="shared" ref="G111:Y111" si="48">+$E111*F$18</f>
        <v>0</v>
      </c>
      <c r="H111" s="83">
        <f t="shared" si="48"/>
        <v>192000</v>
      </c>
      <c r="I111" s="83">
        <f t="shared" si="48"/>
        <v>0</v>
      </c>
      <c r="J111" s="83">
        <f t="shared" si="48"/>
        <v>0</v>
      </c>
      <c r="K111" s="83">
        <f t="shared" si="48"/>
        <v>0</v>
      </c>
      <c r="L111" s="83">
        <f t="shared" si="48"/>
        <v>0</v>
      </c>
      <c r="M111" s="83">
        <f t="shared" si="48"/>
        <v>0</v>
      </c>
      <c r="N111" s="83">
        <f t="shared" si="48"/>
        <v>0</v>
      </c>
      <c r="O111" s="83">
        <f t="shared" si="48"/>
        <v>0</v>
      </c>
      <c r="P111" s="83">
        <f t="shared" si="48"/>
        <v>0</v>
      </c>
      <c r="Q111" s="83">
        <f t="shared" si="48"/>
        <v>0</v>
      </c>
      <c r="R111" s="83">
        <f t="shared" si="48"/>
        <v>0</v>
      </c>
      <c r="S111" s="83">
        <f t="shared" si="48"/>
        <v>0</v>
      </c>
      <c r="T111" s="83">
        <f t="shared" si="48"/>
        <v>0</v>
      </c>
      <c r="U111" s="83">
        <f t="shared" si="48"/>
        <v>0</v>
      </c>
      <c r="V111" s="83">
        <f t="shared" si="48"/>
        <v>0</v>
      </c>
      <c r="W111" s="83">
        <f t="shared" si="48"/>
        <v>0</v>
      </c>
      <c r="X111" s="83">
        <f t="shared" si="48"/>
        <v>0</v>
      </c>
      <c r="Y111" s="83">
        <f t="shared" si="48"/>
        <v>0</v>
      </c>
    </row>
    <row r="112" spans="2:25" x14ac:dyDescent="0.2">
      <c r="B112" s="2" t="s">
        <v>232</v>
      </c>
      <c r="C112" s="73">
        <f>+'Inputs Field'!H74</f>
        <v>1.6</v>
      </c>
      <c r="D112" s="34">
        <f>+'Inputs Field'!F74</f>
        <v>2</v>
      </c>
      <c r="E112" s="34">
        <f>+D112*C112*'Inputs Field'!H43*('Assumptions &amp; Costs'!C72+'Assumptions &amp; Costs'!C68)/1000</f>
        <v>269.31250331999996</v>
      </c>
      <c r="F112" s="83"/>
      <c r="G112" s="83">
        <f t="shared" ref="G112:Y112" si="49">+$E112*F$18</f>
        <v>0</v>
      </c>
      <c r="H112" s="83">
        <f t="shared" si="49"/>
        <v>861800.01062399987</v>
      </c>
      <c r="I112" s="83">
        <f t="shared" si="49"/>
        <v>0</v>
      </c>
      <c r="J112" s="83">
        <f t="shared" si="49"/>
        <v>0</v>
      </c>
      <c r="K112" s="83">
        <f t="shared" si="49"/>
        <v>0</v>
      </c>
      <c r="L112" s="83">
        <f t="shared" si="49"/>
        <v>0</v>
      </c>
      <c r="M112" s="83">
        <f t="shared" si="49"/>
        <v>0</v>
      </c>
      <c r="N112" s="83">
        <f t="shared" si="49"/>
        <v>0</v>
      </c>
      <c r="O112" s="83">
        <f t="shared" si="49"/>
        <v>0</v>
      </c>
      <c r="P112" s="83">
        <f t="shared" si="49"/>
        <v>0</v>
      </c>
      <c r="Q112" s="83">
        <f t="shared" si="49"/>
        <v>0</v>
      </c>
      <c r="R112" s="83">
        <f t="shared" si="49"/>
        <v>0</v>
      </c>
      <c r="S112" s="83">
        <f t="shared" si="49"/>
        <v>0</v>
      </c>
      <c r="T112" s="83">
        <f t="shared" si="49"/>
        <v>0</v>
      </c>
      <c r="U112" s="83">
        <f t="shared" si="49"/>
        <v>0</v>
      </c>
      <c r="V112" s="83">
        <f t="shared" si="49"/>
        <v>0</v>
      </c>
      <c r="W112" s="83">
        <f t="shared" si="49"/>
        <v>0</v>
      </c>
      <c r="X112" s="83">
        <f t="shared" si="49"/>
        <v>0</v>
      </c>
      <c r="Y112" s="83">
        <f t="shared" si="49"/>
        <v>0</v>
      </c>
    </row>
    <row r="113" spans="2:25" x14ac:dyDescent="0.2">
      <c r="B113" s="2" t="s">
        <v>240</v>
      </c>
      <c r="C113" s="34"/>
      <c r="D113" s="34"/>
      <c r="E113" s="34">
        <f>+'Inputs Field'!H77</f>
        <v>10</v>
      </c>
      <c r="F113" s="83"/>
      <c r="G113" s="83">
        <f t="shared" ref="G113:Y113" si="50">+$E113*F$18</f>
        <v>0</v>
      </c>
      <c r="H113" s="83">
        <f t="shared" si="50"/>
        <v>32000</v>
      </c>
      <c r="I113" s="83">
        <f t="shared" si="50"/>
        <v>0</v>
      </c>
      <c r="J113" s="83">
        <f t="shared" si="50"/>
        <v>0</v>
      </c>
      <c r="K113" s="83">
        <f t="shared" si="50"/>
        <v>0</v>
      </c>
      <c r="L113" s="83">
        <f t="shared" si="50"/>
        <v>0</v>
      </c>
      <c r="M113" s="83">
        <f t="shared" si="50"/>
        <v>0</v>
      </c>
      <c r="N113" s="83">
        <f t="shared" si="50"/>
        <v>0</v>
      </c>
      <c r="O113" s="83">
        <f t="shared" si="50"/>
        <v>0</v>
      </c>
      <c r="P113" s="83">
        <f t="shared" si="50"/>
        <v>0</v>
      </c>
      <c r="Q113" s="83">
        <f t="shared" si="50"/>
        <v>0</v>
      </c>
      <c r="R113" s="83">
        <f t="shared" si="50"/>
        <v>0</v>
      </c>
      <c r="S113" s="83">
        <f t="shared" si="50"/>
        <v>0</v>
      </c>
      <c r="T113" s="83">
        <f t="shared" si="50"/>
        <v>0</v>
      </c>
      <c r="U113" s="83">
        <f t="shared" si="50"/>
        <v>0</v>
      </c>
      <c r="V113" s="83">
        <f t="shared" si="50"/>
        <v>0</v>
      </c>
      <c r="W113" s="83">
        <f t="shared" si="50"/>
        <v>0</v>
      </c>
      <c r="X113" s="83">
        <f t="shared" si="50"/>
        <v>0</v>
      </c>
      <c r="Y113" s="83">
        <f t="shared" si="50"/>
        <v>0</v>
      </c>
    </row>
    <row r="114" spans="2:25" x14ac:dyDescent="0.2">
      <c r="B114" s="1" t="s">
        <v>101</v>
      </c>
      <c r="C114" s="34"/>
      <c r="D114" s="3" t="s">
        <v>60</v>
      </c>
      <c r="E114" s="34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</row>
    <row r="115" spans="2:25" x14ac:dyDescent="0.2">
      <c r="B115" s="2" t="s">
        <v>69</v>
      </c>
      <c r="C115" s="2" t="s">
        <v>241</v>
      </c>
      <c r="D115" s="34">
        <f>+'Inputs Field'!K66</f>
        <v>3</v>
      </c>
      <c r="E115" s="34">
        <f>+D115*'Assumptions &amp; Costs'!D88</f>
        <v>30</v>
      </c>
      <c r="F115" s="83"/>
      <c r="G115" s="83">
        <f t="shared" ref="G115:Y115" si="51">+$E115*F$18</f>
        <v>0</v>
      </c>
      <c r="H115" s="83">
        <f t="shared" si="51"/>
        <v>96000</v>
      </c>
      <c r="I115" s="83">
        <f t="shared" si="51"/>
        <v>0</v>
      </c>
      <c r="J115" s="83">
        <f t="shared" si="51"/>
        <v>0</v>
      </c>
      <c r="K115" s="83">
        <f t="shared" si="51"/>
        <v>0</v>
      </c>
      <c r="L115" s="83">
        <f t="shared" si="51"/>
        <v>0</v>
      </c>
      <c r="M115" s="83">
        <f t="shared" si="51"/>
        <v>0</v>
      </c>
      <c r="N115" s="83">
        <f t="shared" si="51"/>
        <v>0</v>
      </c>
      <c r="O115" s="83">
        <f t="shared" si="51"/>
        <v>0</v>
      </c>
      <c r="P115" s="83">
        <f t="shared" si="51"/>
        <v>0</v>
      </c>
      <c r="Q115" s="83">
        <f t="shared" si="51"/>
        <v>0</v>
      </c>
      <c r="R115" s="83">
        <f t="shared" si="51"/>
        <v>0</v>
      </c>
      <c r="S115" s="83">
        <f t="shared" si="51"/>
        <v>0</v>
      </c>
      <c r="T115" s="83">
        <f t="shared" si="51"/>
        <v>0</v>
      </c>
      <c r="U115" s="83">
        <f t="shared" si="51"/>
        <v>0</v>
      </c>
      <c r="V115" s="83">
        <f t="shared" si="51"/>
        <v>0</v>
      </c>
      <c r="W115" s="83">
        <f t="shared" si="51"/>
        <v>0</v>
      </c>
      <c r="X115" s="83">
        <f t="shared" si="51"/>
        <v>0</v>
      </c>
      <c r="Y115" s="83">
        <f t="shared" si="51"/>
        <v>0</v>
      </c>
    </row>
    <row r="116" spans="2:25" x14ac:dyDescent="0.2">
      <c r="B116" s="2" t="s">
        <v>242</v>
      </c>
      <c r="C116" s="2" t="s">
        <v>241</v>
      </c>
      <c r="D116" s="73">
        <f>+'Inputs Field'!K82</f>
        <v>0.5</v>
      </c>
      <c r="E116" s="34">
        <f>+D116*'Assumptions &amp; Costs'!D88</f>
        <v>5</v>
      </c>
      <c r="F116" s="83"/>
      <c r="G116" s="83">
        <f t="shared" ref="G116:Y116" si="52">+$E116*F$18</f>
        <v>0</v>
      </c>
      <c r="H116" s="83">
        <f t="shared" si="52"/>
        <v>16000</v>
      </c>
      <c r="I116" s="83">
        <f t="shared" si="52"/>
        <v>0</v>
      </c>
      <c r="J116" s="83">
        <f t="shared" si="52"/>
        <v>0</v>
      </c>
      <c r="K116" s="83">
        <f t="shared" si="52"/>
        <v>0</v>
      </c>
      <c r="L116" s="83">
        <f t="shared" si="52"/>
        <v>0</v>
      </c>
      <c r="M116" s="83">
        <f t="shared" si="52"/>
        <v>0</v>
      </c>
      <c r="N116" s="83">
        <f t="shared" si="52"/>
        <v>0</v>
      </c>
      <c r="O116" s="83">
        <f t="shared" si="52"/>
        <v>0</v>
      </c>
      <c r="P116" s="83">
        <f t="shared" si="52"/>
        <v>0</v>
      </c>
      <c r="Q116" s="83">
        <f t="shared" si="52"/>
        <v>0</v>
      </c>
      <c r="R116" s="83">
        <f t="shared" si="52"/>
        <v>0</v>
      </c>
      <c r="S116" s="83">
        <f t="shared" si="52"/>
        <v>0</v>
      </c>
      <c r="T116" s="83">
        <f t="shared" si="52"/>
        <v>0</v>
      </c>
      <c r="U116" s="83">
        <f t="shared" si="52"/>
        <v>0</v>
      </c>
      <c r="V116" s="83">
        <f t="shared" si="52"/>
        <v>0</v>
      </c>
      <c r="W116" s="83">
        <f t="shared" si="52"/>
        <v>0</v>
      </c>
      <c r="X116" s="83">
        <f t="shared" si="52"/>
        <v>0</v>
      </c>
      <c r="Y116" s="83">
        <f t="shared" si="52"/>
        <v>0</v>
      </c>
    </row>
    <row r="117" spans="2:25" x14ac:dyDescent="0.2">
      <c r="B117" s="2" t="s">
        <v>233</v>
      </c>
      <c r="C117" s="76">
        <f>+'Inputs Field'!H83</f>
        <v>0.05</v>
      </c>
      <c r="D117" s="34"/>
      <c r="E117" s="34">
        <f>SUM(E94:E104)*C117</f>
        <v>16.056425000000001</v>
      </c>
      <c r="F117" s="83"/>
      <c r="G117" s="83">
        <f t="shared" ref="G117:Y117" si="53">+$E117*F$18</f>
        <v>0</v>
      </c>
      <c r="H117" s="83">
        <f t="shared" si="53"/>
        <v>51380.560000000005</v>
      </c>
      <c r="I117" s="83">
        <f t="shared" si="53"/>
        <v>0</v>
      </c>
      <c r="J117" s="83">
        <f t="shared" si="53"/>
        <v>0</v>
      </c>
      <c r="K117" s="83">
        <f t="shared" si="53"/>
        <v>0</v>
      </c>
      <c r="L117" s="83">
        <f t="shared" si="53"/>
        <v>0</v>
      </c>
      <c r="M117" s="83">
        <f t="shared" si="53"/>
        <v>0</v>
      </c>
      <c r="N117" s="83">
        <f t="shared" si="53"/>
        <v>0</v>
      </c>
      <c r="O117" s="83">
        <f t="shared" si="53"/>
        <v>0</v>
      </c>
      <c r="P117" s="83">
        <f t="shared" si="53"/>
        <v>0</v>
      </c>
      <c r="Q117" s="83">
        <f t="shared" si="53"/>
        <v>0</v>
      </c>
      <c r="R117" s="83">
        <f t="shared" si="53"/>
        <v>0</v>
      </c>
      <c r="S117" s="83">
        <f t="shared" si="53"/>
        <v>0</v>
      </c>
      <c r="T117" s="83">
        <f t="shared" si="53"/>
        <v>0</v>
      </c>
      <c r="U117" s="83">
        <f t="shared" si="53"/>
        <v>0</v>
      </c>
      <c r="V117" s="83">
        <f t="shared" si="53"/>
        <v>0</v>
      </c>
      <c r="W117" s="83">
        <f t="shared" si="53"/>
        <v>0</v>
      </c>
      <c r="X117" s="83">
        <f t="shared" si="53"/>
        <v>0</v>
      </c>
      <c r="Y117" s="83">
        <f t="shared" si="53"/>
        <v>0</v>
      </c>
    </row>
    <row r="118" spans="2:25" x14ac:dyDescent="0.2">
      <c r="B118" s="1" t="s">
        <v>86</v>
      </c>
      <c r="C118" s="34"/>
      <c r="D118" s="34"/>
      <c r="E118" s="34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</row>
    <row r="119" spans="2:25" x14ac:dyDescent="0.2">
      <c r="B119" s="2" t="s">
        <v>234</v>
      </c>
      <c r="C119" s="34"/>
      <c r="D119" s="34"/>
      <c r="E119" s="34">
        <f>SUM(E94:E106)</f>
        <v>448.50596153846158</v>
      </c>
      <c r="F119" s="83"/>
      <c r="G119" s="77">
        <f>SUM(G94:G106)</f>
        <v>0</v>
      </c>
      <c r="H119" s="77">
        <f t="shared" ref="H119:Y119" si="54">SUM(H94:H106)</f>
        <v>1435219.076923077</v>
      </c>
      <c r="I119" s="77">
        <f t="shared" si="54"/>
        <v>0</v>
      </c>
      <c r="J119" s="77">
        <f t="shared" si="54"/>
        <v>0</v>
      </c>
      <c r="K119" s="77">
        <f t="shared" si="54"/>
        <v>0</v>
      </c>
      <c r="L119" s="77">
        <f t="shared" si="54"/>
        <v>0</v>
      </c>
      <c r="M119" s="77">
        <f t="shared" si="54"/>
        <v>0</v>
      </c>
      <c r="N119" s="77">
        <f t="shared" si="54"/>
        <v>0</v>
      </c>
      <c r="O119" s="77">
        <f t="shared" si="54"/>
        <v>0</v>
      </c>
      <c r="P119" s="77">
        <f t="shared" si="54"/>
        <v>0</v>
      </c>
      <c r="Q119" s="77">
        <f t="shared" si="54"/>
        <v>0</v>
      </c>
      <c r="R119" s="77">
        <f t="shared" si="54"/>
        <v>0</v>
      </c>
      <c r="S119" s="77">
        <f t="shared" si="54"/>
        <v>0</v>
      </c>
      <c r="T119" s="77">
        <f t="shared" si="54"/>
        <v>0</v>
      </c>
      <c r="U119" s="77">
        <f t="shared" si="54"/>
        <v>0</v>
      </c>
      <c r="V119" s="77">
        <f t="shared" si="54"/>
        <v>0</v>
      </c>
      <c r="W119" s="77">
        <f t="shared" si="54"/>
        <v>0</v>
      </c>
      <c r="X119" s="77">
        <f t="shared" si="54"/>
        <v>0</v>
      </c>
      <c r="Y119" s="77">
        <f t="shared" si="54"/>
        <v>0</v>
      </c>
    </row>
    <row r="120" spans="2:25" x14ac:dyDescent="0.2">
      <c r="B120" s="2" t="s">
        <v>1</v>
      </c>
      <c r="C120" s="34"/>
      <c r="D120" s="34"/>
      <c r="E120" s="34">
        <f>SUM(E108:E112)</f>
        <v>363.83586674691838</v>
      </c>
      <c r="F120" s="83"/>
      <c r="G120" s="77">
        <f>SUM(G108:G112)</f>
        <v>0</v>
      </c>
      <c r="H120" s="77">
        <f t="shared" ref="H120:Y120" si="55">SUM(H108:H112)</f>
        <v>1164274.7735901386</v>
      </c>
      <c r="I120" s="77">
        <f t="shared" si="55"/>
        <v>0</v>
      </c>
      <c r="J120" s="77">
        <f t="shared" si="55"/>
        <v>0</v>
      </c>
      <c r="K120" s="77">
        <f t="shared" si="55"/>
        <v>0</v>
      </c>
      <c r="L120" s="77">
        <f t="shared" si="55"/>
        <v>0</v>
      </c>
      <c r="M120" s="77">
        <f t="shared" si="55"/>
        <v>0</v>
      </c>
      <c r="N120" s="77">
        <f t="shared" si="55"/>
        <v>0</v>
      </c>
      <c r="O120" s="77">
        <f t="shared" si="55"/>
        <v>0</v>
      </c>
      <c r="P120" s="77">
        <f t="shared" si="55"/>
        <v>0</v>
      </c>
      <c r="Q120" s="77">
        <f t="shared" si="55"/>
        <v>0</v>
      </c>
      <c r="R120" s="77">
        <f t="shared" si="55"/>
        <v>0</v>
      </c>
      <c r="S120" s="77">
        <f t="shared" si="55"/>
        <v>0</v>
      </c>
      <c r="T120" s="77">
        <f t="shared" si="55"/>
        <v>0</v>
      </c>
      <c r="U120" s="77">
        <f t="shared" si="55"/>
        <v>0</v>
      </c>
      <c r="V120" s="77">
        <f t="shared" si="55"/>
        <v>0</v>
      </c>
      <c r="W120" s="77">
        <f t="shared" si="55"/>
        <v>0</v>
      </c>
      <c r="X120" s="77">
        <f t="shared" si="55"/>
        <v>0</v>
      </c>
      <c r="Y120" s="77">
        <f t="shared" si="55"/>
        <v>0</v>
      </c>
    </row>
    <row r="121" spans="2:25" x14ac:dyDescent="0.2">
      <c r="B121" s="2" t="s">
        <v>101</v>
      </c>
      <c r="C121" s="34"/>
      <c r="D121" s="34"/>
      <c r="E121" s="34">
        <f>SUM(E115:E117)</f>
        <v>51.056425000000004</v>
      </c>
      <c r="F121" s="83"/>
      <c r="G121" s="77">
        <f>SUM(G115:G117)</f>
        <v>0</v>
      </c>
      <c r="H121" s="77">
        <f t="shared" ref="H121:Y121" si="56">SUM(H115:H117)</f>
        <v>163380.56</v>
      </c>
      <c r="I121" s="77">
        <f t="shared" si="56"/>
        <v>0</v>
      </c>
      <c r="J121" s="77">
        <f t="shared" si="56"/>
        <v>0</v>
      </c>
      <c r="K121" s="77">
        <f t="shared" si="56"/>
        <v>0</v>
      </c>
      <c r="L121" s="77">
        <f t="shared" si="56"/>
        <v>0</v>
      </c>
      <c r="M121" s="77">
        <f t="shared" si="56"/>
        <v>0</v>
      </c>
      <c r="N121" s="77">
        <f t="shared" si="56"/>
        <v>0</v>
      </c>
      <c r="O121" s="77">
        <f t="shared" si="56"/>
        <v>0</v>
      </c>
      <c r="P121" s="77">
        <f t="shared" si="56"/>
        <v>0</v>
      </c>
      <c r="Q121" s="77">
        <f t="shared" si="56"/>
        <v>0</v>
      </c>
      <c r="R121" s="77">
        <f t="shared" si="56"/>
        <v>0</v>
      </c>
      <c r="S121" s="77">
        <f t="shared" si="56"/>
        <v>0</v>
      </c>
      <c r="T121" s="77">
        <f t="shared" si="56"/>
        <v>0</v>
      </c>
      <c r="U121" s="77">
        <f t="shared" si="56"/>
        <v>0</v>
      </c>
      <c r="V121" s="77">
        <f t="shared" si="56"/>
        <v>0</v>
      </c>
      <c r="W121" s="77">
        <f t="shared" si="56"/>
        <v>0</v>
      </c>
      <c r="X121" s="77">
        <f t="shared" si="56"/>
        <v>0</v>
      </c>
      <c r="Y121" s="77">
        <f t="shared" si="56"/>
        <v>0</v>
      </c>
    </row>
    <row r="122" spans="2:25" x14ac:dyDescent="0.2">
      <c r="B122" s="1" t="s">
        <v>114</v>
      </c>
      <c r="C122" s="34"/>
      <c r="D122" s="34"/>
      <c r="E122" s="34">
        <f>SUM(E119:E121)</f>
        <v>863.39825328537995</v>
      </c>
      <c r="F122" s="83"/>
      <c r="G122" s="77">
        <f>SUM(G119:G121)</f>
        <v>0</v>
      </c>
      <c r="H122" s="77">
        <f t="shared" ref="H122:Y122" si="57">SUM(H119:H121)</f>
        <v>2762874.4105132157</v>
      </c>
      <c r="I122" s="77">
        <f t="shared" si="57"/>
        <v>0</v>
      </c>
      <c r="J122" s="77">
        <f t="shared" si="57"/>
        <v>0</v>
      </c>
      <c r="K122" s="77">
        <f t="shared" si="57"/>
        <v>0</v>
      </c>
      <c r="L122" s="77">
        <f t="shared" si="57"/>
        <v>0</v>
      </c>
      <c r="M122" s="77">
        <f t="shared" si="57"/>
        <v>0</v>
      </c>
      <c r="N122" s="77">
        <f t="shared" si="57"/>
        <v>0</v>
      </c>
      <c r="O122" s="77">
        <f t="shared" si="57"/>
        <v>0</v>
      </c>
      <c r="P122" s="77">
        <f t="shared" si="57"/>
        <v>0</v>
      </c>
      <c r="Q122" s="77">
        <f t="shared" si="57"/>
        <v>0</v>
      </c>
      <c r="R122" s="77">
        <f t="shared" si="57"/>
        <v>0</v>
      </c>
      <c r="S122" s="77">
        <f t="shared" si="57"/>
        <v>0</v>
      </c>
      <c r="T122" s="77">
        <f t="shared" si="57"/>
        <v>0</v>
      </c>
      <c r="U122" s="77">
        <f t="shared" si="57"/>
        <v>0</v>
      </c>
      <c r="V122" s="77">
        <f t="shared" si="57"/>
        <v>0</v>
      </c>
      <c r="W122" s="77">
        <f t="shared" si="57"/>
        <v>0</v>
      </c>
      <c r="X122" s="77">
        <f t="shared" si="57"/>
        <v>0</v>
      </c>
      <c r="Y122" s="77">
        <f t="shared" si="57"/>
        <v>0</v>
      </c>
    </row>
    <row r="123" spans="2:25" x14ac:dyDescent="0.2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</row>
    <row r="124" spans="2:25" x14ac:dyDescent="0.2">
      <c r="B124" s="1" t="s">
        <v>245</v>
      </c>
      <c r="C124" s="83"/>
      <c r="D124" s="83"/>
      <c r="E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</row>
    <row r="125" spans="2:25" x14ac:dyDescent="0.2">
      <c r="B125" s="1" t="s">
        <v>0</v>
      </c>
      <c r="C125" s="75" t="s">
        <v>229</v>
      </c>
      <c r="D125" s="75" t="s">
        <v>230</v>
      </c>
      <c r="E125" s="74" t="s">
        <v>460</v>
      </c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</row>
    <row r="126" spans="2:25" x14ac:dyDescent="0.2">
      <c r="B126" s="2" t="s">
        <v>24</v>
      </c>
      <c r="C126" s="79">
        <f>+'Inputs Field'!D92</f>
        <v>0.5</v>
      </c>
      <c r="D126" s="34">
        <f>+'Inputs Field'!F92</f>
        <v>4</v>
      </c>
      <c r="E126" s="34">
        <f>+C126*D126*'Assumptions &amp; Costs'!E$75*(1+'Assumptions &amp; Costs'!C$81)</f>
        <v>12.54</v>
      </c>
      <c r="G126" s="83"/>
      <c r="H126" s="83">
        <f>+$E126*F$18</f>
        <v>0</v>
      </c>
      <c r="I126" s="83">
        <f t="shared" ref="I126:Y126" si="58">+$E126*G$18</f>
        <v>40128</v>
      </c>
      <c r="J126" s="83">
        <f t="shared" si="58"/>
        <v>0</v>
      </c>
      <c r="K126" s="83">
        <f t="shared" si="58"/>
        <v>0</v>
      </c>
      <c r="L126" s="83">
        <f t="shared" si="58"/>
        <v>0</v>
      </c>
      <c r="M126" s="83">
        <f t="shared" si="58"/>
        <v>0</v>
      </c>
      <c r="N126" s="83">
        <f t="shared" si="58"/>
        <v>0</v>
      </c>
      <c r="O126" s="83">
        <f t="shared" si="58"/>
        <v>0</v>
      </c>
      <c r="P126" s="83">
        <f t="shared" si="58"/>
        <v>0</v>
      </c>
      <c r="Q126" s="83">
        <f t="shared" si="58"/>
        <v>0</v>
      </c>
      <c r="R126" s="83">
        <f t="shared" si="58"/>
        <v>0</v>
      </c>
      <c r="S126" s="83">
        <f t="shared" si="58"/>
        <v>0</v>
      </c>
      <c r="T126" s="83">
        <f t="shared" si="58"/>
        <v>0</v>
      </c>
      <c r="U126" s="83">
        <f t="shared" si="58"/>
        <v>0</v>
      </c>
      <c r="V126" s="83">
        <f t="shared" si="58"/>
        <v>0</v>
      </c>
      <c r="W126" s="83">
        <f t="shared" si="58"/>
        <v>0</v>
      </c>
      <c r="X126" s="83">
        <f t="shared" si="58"/>
        <v>0</v>
      </c>
      <c r="Y126" s="83">
        <f t="shared" si="58"/>
        <v>0</v>
      </c>
    </row>
    <row r="127" spans="2:25" x14ac:dyDescent="0.2">
      <c r="B127" s="2" t="s">
        <v>23</v>
      </c>
      <c r="C127" s="79">
        <f>+'Inputs Field'!D93</f>
        <v>2</v>
      </c>
      <c r="D127" s="34">
        <f>+'Inputs Field'!F93</f>
        <v>6</v>
      </c>
      <c r="E127" s="34">
        <f>+C127*D127*'Assumptions &amp; Costs'!E$76*(1+'Assumptions &amp; Costs'!C$81)</f>
        <v>68.97</v>
      </c>
      <c r="G127" s="83"/>
      <c r="H127" s="83">
        <f t="shared" ref="H127:H135" si="59">+$E127*F$18</f>
        <v>0</v>
      </c>
      <c r="I127" s="83">
        <f t="shared" ref="I127:I135" si="60">+$E127*G$18</f>
        <v>220704</v>
      </c>
      <c r="J127" s="83">
        <f t="shared" ref="J127:J135" si="61">+$E127*H$18</f>
        <v>0</v>
      </c>
      <c r="K127" s="83">
        <f t="shared" ref="K127:K135" si="62">+$E127*I$18</f>
        <v>0</v>
      </c>
      <c r="L127" s="83">
        <f t="shared" ref="L127:L135" si="63">+$E127*J$18</f>
        <v>0</v>
      </c>
      <c r="M127" s="83">
        <f t="shared" ref="M127:M135" si="64">+$E127*K$18</f>
        <v>0</v>
      </c>
      <c r="N127" s="83">
        <f t="shared" ref="N127:N135" si="65">+$E127*L$18</f>
        <v>0</v>
      </c>
      <c r="O127" s="83">
        <f t="shared" ref="O127:O135" si="66">+$E127*M$18</f>
        <v>0</v>
      </c>
      <c r="P127" s="83">
        <f t="shared" ref="P127:P135" si="67">+$E127*N$18</f>
        <v>0</v>
      </c>
      <c r="Q127" s="83">
        <f t="shared" ref="Q127:Q135" si="68">+$E127*O$18</f>
        <v>0</v>
      </c>
      <c r="R127" s="83">
        <f t="shared" ref="R127:R135" si="69">+$E127*P$18</f>
        <v>0</v>
      </c>
      <c r="S127" s="83">
        <f t="shared" ref="S127:S135" si="70">+$E127*Q$18</f>
        <v>0</v>
      </c>
      <c r="T127" s="83">
        <f t="shared" ref="T127:T135" si="71">+$E127*R$18</f>
        <v>0</v>
      </c>
      <c r="U127" s="83">
        <f t="shared" ref="U127:U135" si="72">+$E127*S$18</f>
        <v>0</v>
      </c>
      <c r="V127" s="83">
        <f t="shared" ref="V127:V135" si="73">+$E127*T$18</f>
        <v>0</v>
      </c>
      <c r="W127" s="83">
        <f t="shared" ref="W127:W135" si="74">+$E127*U$18</f>
        <v>0</v>
      </c>
      <c r="X127" s="83">
        <f t="shared" ref="X127:X135" si="75">+$E127*V$18</f>
        <v>0</v>
      </c>
      <c r="Y127" s="83">
        <f t="shared" ref="Y127:Y135" si="76">+$E127*W$18</f>
        <v>0</v>
      </c>
    </row>
    <row r="128" spans="2:25" x14ac:dyDescent="0.2">
      <c r="B128" s="2" t="s">
        <v>13</v>
      </c>
      <c r="C128" s="79">
        <f>+'Inputs Field'!D94</f>
        <v>1</v>
      </c>
      <c r="D128" s="34">
        <f>+'Inputs Field'!F94</f>
        <v>2</v>
      </c>
      <c r="E128" s="34">
        <f>+C128*D128*'Assumptions &amp; Costs'!E$76*(1+'Assumptions &amp; Costs'!C$81)</f>
        <v>11.494999999999999</v>
      </c>
      <c r="G128" s="83"/>
      <c r="H128" s="83">
        <f t="shared" si="59"/>
        <v>0</v>
      </c>
      <c r="I128" s="83">
        <f t="shared" si="60"/>
        <v>36784</v>
      </c>
      <c r="J128" s="83">
        <f t="shared" si="61"/>
        <v>0</v>
      </c>
      <c r="K128" s="83">
        <f t="shared" si="62"/>
        <v>0</v>
      </c>
      <c r="L128" s="83">
        <f t="shared" si="63"/>
        <v>0</v>
      </c>
      <c r="M128" s="83">
        <f t="shared" si="64"/>
        <v>0</v>
      </c>
      <c r="N128" s="83">
        <f t="shared" si="65"/>
        <v>0</v>
      </c>
      <c r="O128" s="83">
        <f t="shared" si="66"/>
        <v>0</v>
      </c>
      <c r="P128" s="83">
        <f t="shared" si="67"/>
        <v>0</v>
      </c>
      <c r="Q128" s="83">
        <f t="shared" si="68"/>
        <v>0</v>
      </c>
      <c r="R128" s="83">
        <f t="shared" si="69"/>
        <v>0</v>
      </c>
      <c r="S128" s="83">
        <f t="shared" si="70"/>
        <v>0</v>
      </c>
      <c r="T128" s="83">
        <f t="shared" si="71"/>
        <v>0</v>
      </c>
      <c r="U128" s="83">
        <f t="shared" si="72"/>
        <v>0</v>
      </c>
      <c r="V128" s="83">
        <f t="shared" si="73"/>
        <v>0</v>
      </c>
      <c r="W128" s="83">
        <f t="shared" si="74"/>
        <v>0</v>
      </c>
      <c r="X128" s="83">
        <f t="shared" si="75"/>
        <v>0</v>
      </c>
      <c r="Y128" s="83">
        <f t="shared" si="76"/>
        <v>0</v>
      </c>
    </row>
    <row r="129" spans="2:25" x14ac:dyDescent="0.2">
      <c r="B129" s="2" t="s">
        <v>34</v>
      </c>
      <c r="C129" s="79">
        <f>+'Inputs Field'!D96</f>
        <v>0</v>
      </c>
      <c r="D129" s="34">
        <f>+'Inputs Field'!F96</f>
        <v>0</v>
      </c>
      <c r="E129" s="34">
        <f>+C129*D129*'Assumptions &amp; Costs'!E$76*(1+'Assumptions &amp; Costs'!C$81)</f>
        <v>0</v>
      </c>
      <c r="G129" s="83"/>
      <c r="H129" s="83">
        <f t="shared" si="59"/>
        <v>0</v>
      </c>
      <c r="I129" s="83">
        <f t="shared" si="60"/>
        <v>0</v>
      </c>
      <c r="J129" s="83">
        <f t="shared" si="61"/>
        <v>0</v>
      </c>
      <c r="K129" s="83">
        <f t="shared" si="62"/>
        <v>0</v>
      </c>
      <c r="L129" s="83">
        <f t="shared" si="63"/>
        <v>0</v>
      </c>
      <c r="M129" s="83">
        <f t="shared" si="64"/>
        <v>0</v>
      </c>
      <c r="N129" s="83">
        <f t="shared" si="65"/>
        <v>0</v>
      </c>
      <c r="O129" s="83">
        <f t="shared" si="66"/>
        <v>0</v>
      </c>
      <c r="P129" s="83">
        <f t="shared" si="67"/>
        <v>0</v>
      </c>
      <c r="Q129" s="83">
        <f t="shared" si="68"/>
        <v>0</v>
      </c>
      <c r="R129" s="83">
        <f t="shared" si="69"/>
        <v>0</v>
      </c>
      <c r="S129" s="83">
        <f t="shared" si="70"/>
        <v>0</v>
      </c>
      <c r="T129" s="83">
        <f t="shared" si="71"/>
        <v>0</v>
      </c>
      <c r="U129" s="83">
        <f t="shared" si="72"/>
        <v>0</v>
      </c>
      <c r="V129" s="83">
        <f t="shared" si="73"/>
        <v>0</v>
      </c>
      <c r="W129" s="83">
        <f t="shared" si="74"/>
        <v>0</v>
      </c>
      <c r="X129" s="83">
        <f t="shared" si="75"/>
        <v>0</v>
      </c>
      <c r="Y129" s="83">
        <f t="shared" si="76"/>
        <v>0</v>
      </c>
    </row>
    <row r="130" spans="2:25" x14ac:dyDescent="0.2">
      <c r="B130" s="2" t="s">
        <v>33</v>
      </c>
      <c r="C130" s="79">
        <f>+'Inputs Field'!D97</f>
        <v>0.2</v>
      </c>
      <c r="D130" s="34">
        <f>+'Inputs Field'!F97</f>
        <v>1</v>
      </c>
      <c r="E130" s="34">
        <f>+C130*D130*'Assumptions &amp; Costs'!E$75*(1+'Assumptions &amp; Costs'!C$81)</f>
        <v>1.254</v>
      </c>
      <c r="G130" s="83"/>
      <c r="H130" s="83">
        <f t="shared" si="59"/>
        <v>0</v>
      </c>
      <c r="I130" s="83">
        <f t="shared" si="60"/>
        <v>4012.8</v>
      </c>
      <c r="J130" s="83">
        <f t="shared" si="61"/>
        <v>0</v>
      </c>
      <c r="K130" s="83">
        <f t="shared" si="62"/>
        <v>0</v>
      </c>
      <c r="L130" s="83">
        <f t="shared" si="63"/>
        <v>0</v>
      </c>
      <c r="M130" s="83">
        <f t="shared" si="64"/>
        <v>0</v>
      </c>
      <c r="N130" s="83">
        <f t="shared" si="65"/>
        <v>0</v>
      </c>
      <c r="O130" s="83">
        <f t="shared" si="66"/>
        <v>0</v>
      </c>
      <c r="P130" s="83">
        <f t="shared" si="67"/>
        <v>0</v>
      </c>
      <c r="Q130" s="83">
        <f t="shared" si="68"/>
        <v>0</v>
      </c>
      <c r="R130" s="83">
        <f t="shared" si="69"/>
        <v>0</v>
      </c>
      <c r="S130" s="83">
        <f t="shared" si="70"/>
        <v>0</v>
      </c>
      <c r="T130" s="83">
        <f t="shared" si="71"/>
        <v>0</v>
      </c>
      <c r="U130" s="83">
        <f t="shared" si="72"/>
        <v>0</v>
      </c>
      <c r="V130" s="83">
        <f t="shared" si="73"/>
        <v>0</v>
      </c>
      <c r="W130" s="83">
        <f t="shared" si="74"/>
        <v>0</v>
      </c>
      <c r="X130" s="83">
        <f t="shared" si="75"/>
        <v>0</v>
      </c>
      <c r="Y130" s="83">
        <f t="shared" si="76"/>
        <v>0</v>
      </c>
    </row>
    <row r="131" spans="2:25" x14ac:dyDescent="0.2">
      <c r="B131" s="2" t="s">
        <v>26</v>
      </c>
      <c r="C131" s="79">
        <f>+'Inputs Field'!D99</f>
        <v>1</v>
      </c>
      <c r="D131" s="34">
        <f>+'Inputs Field'!F99</f>
        <v>1</v>
      </c>
      <c r="E131" s="34">
        <f>+C131*D131*'Assumptions &amp; Costs'!E$76*(1+'Assumptions &amp; Costs'!C$81)</f>
        <v>5.7474999999999996</v>
      </c>
      <c r="G131" s="83"/>
      <c r="H131" s="83">
        <f t="shared" si="59"/>
        <v>0</v>
      </c>
      <c r="I131" s="83">
        <f t="shared" si="60"/>
        <v>18392</v>
      </c>
      <c r="J131" s="83">
        <f t="shared" si="61"/>
        <v>0</v>
      </c>
      <c r="K131" s="83">
        <f t="shared" si="62"/>
        <v>0</v>
      </c>
      <c r="L131" s="83">
        <f t="shared" si="63"/>
        <v>0</v>
      </c>
      <c r="M131" s="83">
        <f t="shared" si="64"/>
        <v>0</v>
      </c>
      <c r="N131" s="83">
        <f t="shared" si="65"/>
        <v>0</v>
      </c>
      <c r="O131" s="83">
        <f t="shared" si="66"/>
        <v>0</v>
      </c>
      <c r="P131" s="83">
        <f t="shared" si="67"/>
        <v>0</v>
      </c>
      <c r="Q131" s="83">
        <f t="shared" si="68"/>
        <v>0</v>
      </c>
      <c r="R131" s="83">
        <f t="shared" si="69"/>
        <v>0</v>
      </c>
      <c r="S131" s="83">
        <f t="shared" si="70"/>
        <v>0</v>
      </c>
      <c r="T131" s="83">
        <f t="shared" si="71"/>
        <v>0</v>
      </c>
      <c r="U131" s="83">
        <f t="shared" si="72"/>
        <v>0</v>
      </c>
      <c r="V131" s="83">
        <f t="shared" si="73"/>
        <v>0</v>
      </c>
      <c r="W131" s="83">
        <f t="shared" si="74"/>
        <v>0</v>
      </c>
      <c r="X131" s="83">
        <f t="shared" si="75"/>
        <v>0</v>
      </c>
      <c r="Y131" s="83">
        <f t="shared" si="76"/>
        <v>0</v>
      </c>
    </row>
    <row r="132" spans="2:25" x14ac:dyDescent="0.2">
      <c r="B132" s="2" t="s">
        <v>31</v>
      </c>
      <c r="C132" s="79">
        <f>+'Inputs Field'!D100</f>
        <v>1</v>
      </c>
      <c r="D132" s="34">
        <f>+'Inputs Field'!F100</f>
        <v>1</v>
      </c>
      <c r="E132" s="34">
        <f>+C132*D132*'Assumptions &amp; Costs'!E$76*(1+'Assumptions &amp; Costs'!C$81)</f>
        <v>5.7474999999999996</v>
      </c>
      <c r="G132" s="83"/>
      <c r="H132" s="83">
        <f t="shared" si="59"/>
        <v>0</v>
      </c>
      <c r="I132" s="83">
        <f t="shared" si="60"/>
        <v>18392</v>
      </c>
      <c r="J132" s="83">
        <f t="shared" si="61"/>
        <v>0</v>
      </c>
      <c r="K132" s="83">
        <f t="shared" si="62"/>
        <v>0</v>
      </c>
      <c r="L132" s="83">
        <f t="shared" si="63"/>
        <v>0</v>
      </c>
      <c r="M132" s="83">
        <f t="shared" si="64"/>
        <v>0</v>
      </c>
      <c r="N132" s="83">
        <f t="shared" si="65"/>
        <v>0</v>
      </c>
      <c r="O132" s="83">
        <f t="shared" si="66"/>
        <v>0</v>
      </c>
      <c r="P132" s="83">
        <f t="shared" si="67"/>
        <v>0</v>
      </c>
      <c r="Q132" s="83">
        <f t="shared" si="68"/>
        <v>0</v>
      </c>
      <c r="R132" s="83">
        <f t="shared" si="69"/>
        <v>0</v>
      </c>
      <c r="S132" s="83">
        <f t="shared" si="70"/>
        <v>0</v>
      </c>
      <c r="T132" s="83">
        <f t="shared" si="71"/>
        <v>0</v>
      </c>
      <c r="U132" s="83">
        <f t="shared" si="72"/>
        <v>0</v>
      </c>
      <c r="V132" s="83">
        <f t="shared" si="73"/>
        <v>0</v>
      </c>
      <c r="W132" s="83">
        <f t="shared" si="74"/>
        <v>0</v>
      </c>
      <c r="X132" s="83">
        <f t="shared" si="75"/>
        <v>0</v>
      </c>
      <c r="Y132" s="83">
        <f t="shared" si="76"/>
        <v>0</v>
      </c>
    </row>
    <row r="133" spans="2:25" x14ac:dyDescent="0.2">
      <c r="B133" s="2" t="s">
        <v>58</v>
      </c>
      <c r="C133" s="79">
        <f>+'Inputs Field'!D101</f>
        <v>1</v>
      </c>
      <c r="D133" s="34">
        <f>+'Inputs Field'!F101</f>
        <v>1</v>
      </c>
      <c r="E133" s="34">
        <f>+C133*D133*'Assumptions &amp; Costs'!E$76*(1+'Assumptions &amp; Costs'!C$81)</f>
        <v>5.7474999999999996</v>
      </c>
      <c r="G133" s="83"/>
      <c r="H133" s="83">
        <f t="shared" si="59"/>
        <v>0</v>
      </c>
      <c r="I133" s="83">
        <f t="shared" si="60"/>
        <v>18392</v>
      </c>
      <c r="J133" s="83">
        <f t="shared" si="61"/>
        <v>0</v>
      </c>
      <c r="K133" s="83">
        <f t="shared" si="62"/>
        <v>0</v>
      </c>
      <c r="L133" s="83">
        <f t="shared" si="63"/>
        <v>0</v>
      </c>
      <c r="M133" s="83">
        <f t="shared" si="64"/>
        <v>0</v>
      </c>
      <c r="N133" s="83">
        <f t="shared" si="65"/>
        <v>0</v>
      </c>
      <c r="O133" s="83">
        <f t="shared" si="66"/>
        <v>0</v>
      </c>
      <c r="P133" s="83">
        <f t="shared" si="67"/>
        <v>0</v>
      </c>
      <c r="Q133" s="83">
        <f t="shared" si="68"/>
        <v>0</v>
      </c>
      <c r="R133" s="83">
        <f t="shared" si="69"/>
        <v>0</v>
      </c>
      <c r="S133" s="83">
        <f t="shared" si="70"/>
        <v>0</v>
      </c>
      <c r="T133" s="83">
        <f t="shared" si="71"/>
        <v>0</v>
      </c>
      <c r="U133" s="83">
        <f t="shared" si="72"/>
        <v>0</v>
      </c>
      <c r="V133" s="83">
        <f t="shared" si="73"/>
        <v>0</v>
      </c>
      <c r="W133" s="83">
        <f t="shared" si="74"/>
        <v>0</v>
      </c>
      <c r="X133" s="83">
        <f t="shared" si="75"/>
        <v>0</v>
      </c>
      <c r="Y133" s="83">
        <f t="shared" si="76"/>
        <v>0</v>
      </c>
    </row>
    <row r="134" spans="2:25" x14ac:dyDescent="0.2">
      <c r="B134" s="2" t="s">
        <v>46</v>
      </c>
      <c r="C134" s="76">
        <f>+'Inputs Field'!D104</f>
        <v>0.1</v>
      </c>
      <c r="D134" s="34"/>
      <c r="E134" s="34">
        <f>SUMPRODUCT(C$126:C$133,D$126:D$133)*C134*'Assumptions &amp; Costs'!E78*(1+'Assumptions &amp; Costs'!C$81)</f>
        <v>15.047999999999998</v>
      </c>
      <c r="G134" s="83"/>
      <c r="H134" s="83">
        <f t="shared" si="59"/>
        <v>0</v>
      </c>
      <c r="I134" s="83">
        <f t="shared" si="60"/>
        <v>48153.599999999991</v>
      </c>
      <c r="J134" s="83">
        <f t="shared" si="61"/>
        <v>0</v>
      </c>
      <c r="K134" s="83">
        <f t="shared" si="62"/>
        <v>0</v>
      </c>
      <c r="L134" s="83">
        <f t="shared" si="63"/>
        <v>0</v>
      </c>
      <c r="M134" s="83">
        <f t="shared" si="64"/>
        <v>0</v>
      </c>
      <c r="N134" s="83">
        <f t="shared" si="65"/>
        <v>0</v>
      </c>
      <c r="O134" s="83">
        <f t="shared" si="66"/>
        <v>0</v>
      </c>
      <c r="P134" s="83">
        <f t="shared" si="67"/>
        <v>0</v>
      </c>
      <c r="Q134" s="83">
        <f t="shared" si="68"/>
        <v>0</v>
      </c>
      <c r="R134" s="83">
        <f t="shared" si="69"/>
        <v>0</v>
      </c>
      <c r="S134" s="83">
        <f t="shared" si="70"/>
        <v>0</v>
      </c>
      <c r="T134" s="83">
        <f t="shared" si="71"/>
        <v>0</v>
      </c>
      <c r="U134" s="83">
        <f t="shared" si="72"/>
        <v>0</v>
      </c>
      <c r="V134" s="83">
        <f t="shared" si="73"/>
        <v>0</v>
      </c>
      <c r="W134" s="83">
        <f t="shared" si="74"/>
        <v>0</v>
      </c>
      <c r="X134" s="83">
        <f t="shared" si="75"/>
        <v>0</v>
      </c>
      <c r="Y134" s="83">
        <f t="shared" si="76"/>
        <v>0</v>
      </c>
    </row>
    <row r="135" spans="2:25" x14ac:dyDescent="0.2">
      <c r="B135" s="2" t="s">
        <v>47</v>
      </c>
      <c r="C135" s="76">
        <f>+'Inputs Field'!D105</f>
        <v>0.05</v>
      </c>
      <c r="D135" s="34"/>
      <c r="E135" s="34">
        <f>SUMPRODUCT(C$126:C$133,D$126:D$133)*C135*'Assumptions &amp; Costs'!E79*(1+'Assumptions &amp; Costs'!C$81)</f>
        <v>28.938461538461539</v>
      </c>
      <c r="G135" s="83"/>
      <c r="H135" s="83">
        <f t="shared" si="59"/>
        <v>0</v>
      </c>
      <c r="I135" s="83">
        <f t="shared" si="60"/>
        <v>92603.076923076922</v>
      </c>
      <c r="J135" s="83">
        <f t="shared" si="61"/>
        <v>0</v>
      </c>
      <c r="K135" s="83">
        <f t="shared" si="62"/>
        <v>0</v>
      </c>
      <c r="L135" s="83">
        <f t="shared" si="63"/>
        <v>0</v>
      </c>
      <c r="M135" s="83">
        <f t="shared" si="64"/>
        <v>0</v>
      </c>
      <c r="N135" s="83">
        <f t="shared" si="65"/>
        <v>0</v>
      </c>
      <c r="O135" s="83">
        <f t="shared" si="66"/>
        <v>0</v>
      </c>
      <c r="P135" s="83">
        <f t="shared" si="67"/>
        <v>0</v>
      </c>
      <c r="Q135" s="83">
        <f t="shared" si="68"/>
        <v>0</v>
      </c>
      <c r="R135" s="83">
        <f t="shared" si="69"/>
        <v>0</v>
      </c>
      <c r="S135" s="83">
        <f t="shared" si="70"/>
        <v>0</v>
      </c>
      <c r="T135" s="83">
        <f t="shared" si="71"/>
        <v>0</v>
      </c>
      <c r="U135" s="83">
        <f t="shared" si="72"/>
        <v>0</v>
      </c>
      <c r="V135" s="83">
        <f t="shared" si="73"/>
        <v>0</v>
      </c>
      <c r="W135" s="83">
        <f t="shared" si="74"/>
        <v>0</v>
      </c>
      <c r="X135" s="83">
        <f t="shared" si="75"/>
        <v>0</v>
      </c>
      <c r="Y135" s="83">
        <f t="shared" si="76"/>
        <v>0</v>
      </c>
    </row>
    <row r="136" spans="2:25" x14ac:dyDescent="0.2">
      <c r="B136" s="1" t="s">
        <v>1</v>
      </c>
      <c r="C136" s="34"/>
      <c r="D136" s="34"/>
      <c r="E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</row>
    <row r="137" spans="2:25" x14ac:dyDescent="0.2">
      <c r="B137" s="2" t="s">
        <v>239</v>
      </c>
      <c r="C137" s="78">
        <f>+'Inputs Field'!H92</f>
        <v>1</v>
      </c>
      <c r="D137" s="34">
        <f>+'Inputs Field'!F92</f>
        <v>4</v>
      </c>
      <c r="E137" s="34">
        <f>+C137*D137*'Assumptions &amp; Costs'!C65</f>
        <v>40</v>
      </c>
      <c r="G137" s="83"/>
      <c r="H137" s="83">
        <f t="shared" ref="H137:Q139" si="77">+$E137*F$18</f>
        <v>0</v>
      </c>
      <c r="I137" s="83">
        <f t="shared" si="77"/>
        <v>128000</v>
      </c>
      <c r="J137" s="83">
        <f t="shared" si="77"/>
        <v>0</v>
      </c>
      <c r="K137" s="83">
        <f t="shared" si="77"/>
        <v>0</v>
      </c>
      <c r="L137" s="83">
        <f t="shared" si="77"/>
        <v>0</v>
      </c>
      <c r="M137" s="83">
        <f t="shared" si="77"/>
        <v>0</v>
      </c>
      <c r="N137" s="83">
        <f t="shared" si="77"/>
        <v>0</v>
      </c>
      <c r="O137" s="83">
        <f t="shared" si="77"/>
        <v>0</v>
      </c>
      <c r="P137" s="83">
        <f t="shared" si="77"/>
        <v>0</v>
      </c>
      <c r="Q137" s="83">
        <f t="shared" si="77"/>
        <v>0</v>
      </c>
      <c r="R137" s="83">
        <f t="shared" ref="R137:Y139" si="78">+$E137*P$18</f>
        <v>0</v>
      </c>
      <c r="S137" s="83">
        <f t="shared" si="78"/>
        <v>0</v>
      </c>
      <c r="T137" s="83">
        <f t="shared" si="78"/>
        <v>0</v>
      </c>
      <c r="U137" s="83">
        <f t="shared" si="78"/>
        <v>0</v>
      </c>
      <c r="V137" s="83">
        <f t="shared" si="78"/>
        <v>0</v>
      </c>
      <c r="W137" s="83">
        <f t="shared" si="78"/>
        <v>0</v>
      </c>
      <c r="X137" s="83">
        <f t="shared" si="78"/>
        <v>0</v>
      </c>
      <c r="Y137" s="83">
        <f t="shared" si="78"/>
        <v>0</v>
      </c>
    </row>
    <row r="138" spans="2:25" x14ac:dyDescent="0.2">
      <c r="B138" s="2" t="s">
        <v>232</v>
      </c>
      <c r="C138" s="78">
        <f>+'Inputs Field'!H94</f>
        <v>2.5</v>
      </c>
      <c r="D138" s="34">
        <f>+'Inputs Field'!F94</f>
        <v>2</v>
      </c>
      <c r="E138" s="34">
        <f>+C138*D138*'Inputs Field'!H43*('Assumptions &amp; Costs'!C68+'Assumptions &amp; Costs'!C72)/1000</f>
        <v>420.80078643749988</v>
      </c>
      <c r="G138" s="83"/>
      <c r="H138" s="83">
        <f t="shared" si="77"/>
        <v>0</v>
      </c>
      <c r="I138" s="83">
        <f t="shared" si="77"/>
        <v>1346562.5165999995</v>
      </c>
      <c r="J138" s="83">
        <f t="shared" si="77"/>
        <v>0</v>
      </c>
      <c r="K138" s="83">
        <f t="shared" si="77"/>
        <v>0</v>
      </c>
      <c r="L138" s="83">
        <f t="shared" si="77"/>
        <v>0</v>
      </c>
      <c r="M138" s="83">
        <f t="shared" si="77"/>
        <v>0</v>
      </c>
      <c r="N138" s="83">
        <f t="shared" si="77"/>
        <v>0</v>
      </c>
      <c r="O138" s="83">
        <f t="shared" si="77"/>
        <v>0</v>
      </c>
      <c r="P138" s="83">
        <f t="shared" si="77"/>
        <v>0</v>
      </c>
      <c r="Q138" s="83">
        <f t="shared" si="77"/>
        <v>0</v>
      </c>
      <c r="R138" s="83">
        <f t="shared" si="78"/>
        <v>0</v>
      </c>
      <c r="S138" s="83">
        <f t="shared" si="78"/>
        <v>0</v>
      </c>
      <c r="T138" s="83">
        <f t="shared" si="78"/>
        <v>0</v>
      </c>
      <c r="U138" s="83">
        <f t="shared" si="78"/>
        <v>0</v>
      </c>
      <c r="V138" s="83">
        <f t="shared" si="78"/>
        <v>0</v>
      </c>
      <c r="W138" s="83">
        <f t="shared" si="78"/>
        <v>0</v>
      </c>
      <c r="X138" s="83">
        <f t="shared" si="78"/>
        <v>0</v>
      </c>
      <c r="Y138" s="83">
        <f t="shared" si="78"/>
        <v>0</v>
      </c>
    </row>
    <row r="139" spans="2:25" x14ac:dyDescent="0.2">
      <c r="B139" s="2" t="s">
        <v>240</v>
      </c>
      <c r="C139" s="78"/>
      <c r="D139" s="34"/>
      <c r="E139" s="34">
        <f>+'Inputs Field'!H97</f>
        <v>10</v>
      </c>
      <c r="G139" s="83"/>
      <c r="H139" s="83">
        <f t="shared" si="77"/>
        <v>0</v>
      </c>
      <c r="I139" s="83">
        <f t="shared" si="77"/>
        <v>32000</v>
      </c>
      <c r="J139" s="83">
        <f t="shared" si="77"/>
        <v>0</v>
      </c>
      <c r="K139" s="83">
        <f t="shared" si="77"/>
        <v>0</v>
      </c>
      <c r="L139" s="83">
        <f t="shared" si="77"/>
        <v>0</v>
      </c>
      <c r="M139" s="83">
        <f t="shared" si="77"/>
        <v>0</v>
      </c>
      <c r="N139" s="83">
        <f t="shared" si="77"/>
        <v>0</v>
      </c>
      <c r="O139" s="83">
        <f t="shared" si="77"/>
        <v>0</v>
      </c>
      <c r="P139" s="83">
        <f t="shared" si="77"/>
        <v>0</v>
      </c>
      <c r="Q139" s="83">
        <f t="shared" si="77"/>
        <v>0</v>
      </c>
      <c r="R139" s="83">
        <f t="shared" si="78"/>
        <v>0</v>
      </c>
      <c r="S139" s="83">
        <f t="shared" si="78"/>
        <v>0</v>
      </c>
      <c r="T139" s="83">
        <f t="shared" si="78"/>
        <v>0</v>
      </c>
      <c r="U139" s="83">
        <f t="shared" si="78"/>
        <v>0</v>
      </c>
      <c r="V139" s="83">
        <f t="shared" si="78"/>
        <v>0</v>
      </c>
      <c r="W139" s="83">
        <f t="shared" si="78"/>
        <v>0</v>
      </c>
      <c r="X139" s="83">
        <f t="shared" si="78"/>
        <v>0</v>
      </c>
      <c r="Y139" s="83">
        <f t="shared" si="78"/>
        <v>0</v>
      </c>
    </row>
    <row r="140" spans="2:25" x14ac:dyDescent="0.2">
      <c r="B140" s="1" t="s">
        <v>101</v>
      </c>
      <c r="C140" s="34"/>
      <c r="D140" s="3" t="s">
        <v>60</v>
      </c>
      <c r="E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2:25" x14ac:dyDescent="0.2">
      <c r="B141" s="2" t="s">
        <v>242</v>
      </c>
      <c r="C141" s="34" t="s">
        <v>241</v>
      </c>
      <c r="D141" s="73">
        <f>+'Inputs Field'!K102</f>
        <v>0.5</v>
      </c>
      <c r="E141" s="34">
        <f>+D141*'Assumptions &amp; Costs'!D88</f>
        <v>5</v>
      </c>
      <c r="G141" s="83"/>
      <c r="H141" s="83">
        <f t="shared" ref="H141:Q142" si="79">+$E141*F$18</f>
        <v>0</v>
      </c>
      <c r="I141" s="83">
        <f t="shared" si="79"/>
        <v>16000</v>
      </c>
      <c r="J141" s="83">
        <f t="shared" si="79"/>
        <v>0</v>
      </c>
      <c r="K141" s="83">
        <f t="shared" si="79"/>
        <v>0</v>
      </c>
      <c r="L141" s="83">
        <f t="shared" si="79"/>
        <v>0</v>
      </c>
      <c r="M141" s="83">
        <f t="shared" si="79"/>
        <v>0</v>
      </c>
      <c r="N141" s="83">
        <f t="shared" si="79"/>
        <v>0</v>
      </c>
      <c r="O141" s="83">
        <f t="shared" si="79"/>
        <v>0</v>
      </c>
      <c r="P141" s="83">
        <f t="shared" si="79"/>
        <v>0</v>
      </c>
      <c r="Q141" s="83">
        <f t="shared" si="79"/>
        <v>0</v>
      </c>
      <c r="R141" s="83">
        <f t="shared" ref="R141:Y142" si="80">+$E141*P$18</f>
        <v>0</v>
      </c>
      <c r="S141" s="83">
        <f t="shared" si="80"/>
        <v>0</v>
      </c>
      <c r="T141" s="83">
        <f t="shared" si="80"/>
        <v>0</v>
      </c>
      <c r="U141" s="83">
        <f t="shared" si="80"/>
        <v>0</v>
      </c>
      <c r="V141" s="83">
        <f t="shared" si="80"/>
        <v>0</v>
      </c>
      <c r="W141" s="83">
        <f t="shared" si="80"/>
        <v>0</v>
      </c>
      <c r="X141" s="83">
        <f t="shared" si="80"/>
        <v>0</v>
      </c>
      <c r="Y141" s="83">
        <f t="shared" si="80"/>
        <v>0</v>
      </c>
    </row>
    <row r="142" spans="2:25" x14ac:dyDescent="0.2">
      <c r="B142" s="2" t="s">
        <v>233</v>
      </c>
      <c r="C142" s="76">
        <f>+'Inputs Field'!H103</f>
        <v>0.05</v>
      </c>
      <c r="D142" s="34"/>
      <c r="E142" s="34">
        <f>SUM(E126:E133)*C142</f>
        <v>5.5750750000000009</v>
      </c>
      <c r="G142" s="83"/>
      <c r="H142" s="83">
        <f t="shared" si="79"/>
        <v>0</v>
      </c>
      <c r="I142" s="83">
        <f t="shared" si="79"/>
        <v>17840.240000000002</v>
      </c>
      <c r="J142" s="83">
        <f t="shared" si="79"/>
        <v>0</v>
      </c>
      <c r="K142" s="83">
        <f t="shared" si="79"/>
        <v>0</v>
      </c>
      <c r="L142" s="83">
        <f t="shared" si="79"/>
        <v>0</v>
      </c>
      <c r="M142" s="83">
        <f t="shared" si="79"/>
        <v>0</v>
      </c>
      <c r="N142" s="83">
        <f t="shared" si="79"/>
        <v>0</v>
      </c>
      <c r="O142" s="83">
        <f t="shared" si="79"/>
        <v>0</v>
      </c>
      <c r="P142" s="83">
        <f t="shared" si="79"/>
        <v>0</v>
      </c>
      <c r="Q142" s="83">
        <f t="shared" si="79"/>
        <v>0</v>
      </c>
      <c r="R142" s="83">
        <f t="shared" si="80"/>
        <v>0</v>
      </c>
      <c r="S142" s="83">
        <f t="shared" si="80"/>
        <v>0</v>
      </c>
      <c r="T142" s="83">
        <f t="shared" si="80"/>
        <v>0</v>
      </c>
      <c r="U142" s="83">
        <f t="shared" si="80"/>
        <v>0</v>
      </c>
      <c r="V142" s="83">
        <f t="shared" si="80"/>
        <v>0</v>
      </c>
      <c r="W142" s="83">
        <f t="shared" si="80"/>
        <v>0</v>
      </c>
      <c r="X142" s="83">
        <f t="shared" si="80"/>
        <v>0</v>
      </c>
      <c r="Y142" s="83">
        <f t="shared" si="80"/>
        <v>0</v>
      </c>
    </row>
    <row r="143" spans="2:25" x14ac:dyDescent="0.2">
      <c r="B143" s="1" t="s">
        <v>86</v>
      </c>
      <c r="C143" s="83"/>
      <c r="D143" s="83"/>
      <c r="E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</row>
    <row r="144" spans="2:25" x14ac:dyDescent="0.2">
      <c r="B144" s="2" t="s">
        <v>234</v>
      </c>
      <c r="C144" s="83"/>
      <c r="D144" s="83"/>
      <c r="E144" s="34">
        <f>SUM(E126:E135)</f>
        <v>155.48796153846155</v>
      </c>
      <c r="G144" s="83"/>
      <c r="H144" s="77">
        <f t="shared" ref="H144:Y144" si="81">SUM(H126:H135)</f>
        <v>0</v>
      </c>
      <c r="I144" s="77">
        <f t="shared" si="81"/>
        <v>497561.4769230769</v>
      </c>
      <c r="J144" s="77">
        <f t="shared" si="81"/>
        <v>0</v>
      </c>
      <c r="K144" s="77">
        <f t="shared" si="81"/>
        <v>0</v>
      </c>
      <c r="L144" s="77">
        <f t="shared" si="81"/>
        <v>0</v>
      </c>
      <c r="M144" s="77">
        <f t="shared" si="81"/>
        <v>0</v>
      </c>
      <c r="N144" s="77">
        <f t="shared" si="81"/>
        <v>0</v>
      </c>
      <c r="O144" s="77">
        <f t="shared" si="81"/>
        <v>0</v>
      </c>
      <c r="P144" s="77">
        <f t="shared" si="81"/>
        <v>0</v>
      </c>
      <c r="Q144" s="77">
        <f t="shared" si="81"/>
        <v>0</v>
      </c>
      <c r="R144" s="77">
        <f t="shared" si="81"/>
        <v>0</v>
      </c>
      <c r="S144" s="77">
        <f t="shared" si="81"/>
        <v>0</v>
      </c>
      <c r="T144" s="77">
        <f t="shared" si="81"/>
        <v>0</v>
      </c>
      <c r="U144" s="77">
        <f t="shared" si="81"/>
        <v>0</v>
      </c>
      <c r="V144" s="77">
        <f t="shared" si="81"/>
        <v>0</v>
      </c>
      <c r="W144" s="77">
        <f t="shared" si="81"/>
        <v>0</v>
      </c>
      <c r="X144" s="77">
        <f t="shared" si="81"/>
        <v>0</v>
      </c>
      <c r="Y144" s="77">
        <f t="shared" si="81"/>
        <v>0</v>
      </c>
    </row>
    <row r="145" spans="2:25" x14ac:dyDescent="0.2">
      <c r="B145" s="2" t="s">
        <v>1</v>
      </c>
      <c r="C145" s="83"/>
      <c r="D145" s="83"/>
      <c r="E145" s="34">
        <f>SUM(E137:E139)</f>
        <v>470.80078643749988</v>
      </c>
      <c r="G145" s="83"/>
      <c r="H145" s="77">
        <f t="shared" ref="H145:Y145" si="82">SUM(H137:H139)</f>
        <v>0</v>
      </c>
      <c r="I145" s="77">
        <f t="shared" si="82"/>
        <v>1506562.5165999995</v>
      </c>
      <c r="J145" s="77">
        <f t="shared" si="82"/>
        <v>0</v>
      </c>
      <c r="K145" s="77">
        <f t="shared" si="82"/>
        <v>0</v>
      </c>
      <c r="L145" s="77">
        <f t="shared" si="82"/>
        <v>0</v>
      </c>
      <c r="M145" s="77">
        <f t="shared" si="82"/>
        <v>0</v>
      </c>
      <c r="N145" s="77">
        <f t="shared" si="82"/>
        <v>0</v>
      </c>
      <c r="O145" s="77">
        <f t="shared" si="82"/>
        <v>0</v>
      </c>
      <c r="P145" s="77">
        <f t="shared" si="82"/>
        <v>0</v>
      </c>
      <c r="Q145" s="77">
        <f t="shared" si="82"/>
        <v>0</v>
      </c>
      <c r="R145" s="77">
        <f t="shared" si="82"/>
        <v>0</v>
      </c>
      <c r="S145" s="77">
        <f t="shared" si="82"/>
        <v>0</v>
      </c>
      <c r="T145" s="77">
        <f t="shared" si="82"/>
        <v>0</v>
      </c>
      <c r="U145" s="77">
        <f t="shared" si="82"/>
        <v>0</v>
      </c>
      <c r="V145" s="77">
        <f t="shared" si="82"/>
        <v>0</v>
      </c>
      <c r="W145" s="77">
        <f t="shared" si="82"/>
        <v>0</v>
      </c>
      <c r="X145" s="77">
        <f t="shared" si="82"/>
        <v>0</v>
      </c>
      <c r="Y145" s="77">
        <f t="shared" si="82"/>
        <v>0</v>
      </c>
    </row>
    <row r="146" spans="2:25" x14ac:dyDescent="0.2">
      <c r="B146" s="2" t="s">
        <v>101</v>
      </c>
      <c r="C146" s="83"/>
      <c r="D146" s="83"/>
      <c r="E146" s="34">
        <f>SUM(E141:E142)</f>
        <v>10.575075000000002</v>
      </c>
      <c r="G146" s="83"/>
      <c r="H146" s="77">
        <f t="shared" ref="H146:Y146" si="83">SUM(H141:H142)</f>
        <v>0</v>
      </c>
      <c r="I146" s="77">
        <f t="shared" si="83"/>
        <v>33840.240000000005</v>
      </c>
      <c r="J146" s="77">
        <f t="shared" si="83"/>
        <v>0</v>
      </c>
      <c r="K146" s="77">
        <f t="shared" si="83"/>
        <v>0</v>
      </c>
      <c r="L146" s="77">
        <f t="shared" si="83"/>
        <v>0</v>
      </c>
      <c r="M146" s="77">
        <f t="shared" si="83"/>
        <v>0</v>
      </c>
      <c r="N146" s="77">
        <f t="shared" si="83"/>
        <v>0</v>
      </c>
      <c r="O146" s="77">
        <f t="shared" si="83"/>
        <v>0</v>
      </c>
      <c r="P146" s="77">
        <f t="shared" si="83"/>
        <v>0</v>
      </c>
      <c r="Q146" s="77">
        <f t="shared" si="83"/>
        <v>0</v>
      </c>
      <c r="R146" s="77">
        <f t="shared" si="83"/>
        <v>0</v>
      </c>
      <c r="S146" s="77">
        <f t="shared" si="83"/>
        <v>0</v>
      </c>
      <c r="T146" s="77">
        <f t="shared" si="83"/>
        <v>0</v>
      </c>
      <c r="U146" s="77">
        <f t="shared" si="83"/>
        <v>0</v>
      </c>
      <c r="V146" s="77">
        <f t="shared" si="83"/>
        <v>0</v>
      </c>
      <c r="W146" s="77">
        <f t="shared" si="83"/>
        <v>0</v>
      </c>
      <c r="X146" s="77">
        <f t="shared" si="83"/>
        <v>0</v>
      </c>
      <c r="Y146" s="77">
        <f t="shared" si="83"/>
        <v>0</v>
      </c>
    </row>
    <row r="147" spans="2:25" x14ac:dyDescent="0.2">
      <c r="B147" s="1" t="s">
        <v>114</v>
      </c>
      <c r="C147" s="83"/>
      <c r="D147" s="83"/>
      <c r="E147" s="34">
        <f>SUM(E144:E146)</f>
        <v>636.8638229759614</v>
      </c>
      <c r="G147" s="83"/>
      <c r="H147" s="77">
        <f t="shared" ref="H147:Y147" si="84">SUM(H144:H146)</f>
        <v>0</v>
      </c>
      <c r="I147" s="77">
        <f t="shared" si="84"/>
        <v>2037964.2335230764</v>
      </c>
      <c r="J147" s="77">
        <f t="shared" si="84"/>
        <v>0</v>
      </c>
      <c r="K147" s="77">
        <f t="shared" si="84"/>
        <v>0</v>
      </c>
      <c r="L147" s="77">
        <f t="shared" si="84"/>
        <v>0</v>
      </c>
      <c r="M147" s="77">
        <f t="shared" si="84"/>
        <v>0</v>
      </c>
      <c r="N147" s="77">
        <f t="shared" si="84"/>
        <v>0</v>
      </c>
      <c r="O147" s="77">
        <f t="shared" si="84"/>
        <v>0</v>
      </c>
      <c r="P147" s="77">
        <f t="shared" si="84"/>
        <v>0</v>
      </c>
      <c r="Q147" s="77">
        <f t="shared" si="84"/>
        <v>0</v>
      </c>
      <c r="R147" s="77">
        <f t="shared" si="84"/>
        <v>0</v>
      </c>
      <c r="S147" s="77">
        <f t="shared" si="84"/>
        <v>0</v>
      </c>
      <c r="T147" s="77">
        <f t="shared" si="84"/>
        <v>0</v>
      </c>
      <c r="U147" s="77">
        <f t="shared" si="84"/>
        <v>0</v>
      </c>
      <c r="V147" s="77">
        <f t="shared" si="84"/>
        <v>0</v>
      </c>
      <c r="W147" s="77">
        <f t="shared" si="84"/>
        <v>0</v>
      </c>
      <c r="X147" s="77">
        <f t="shared" si="84"/>
        <v>0</v>
      </c>
      <c r="Y147" s="77">
        <f t="shared" si="84"/>
        <v>0</v>
      </c>
    </row>
    <row r="148" spans="2:25" x14ac:dyDescent="0.2">
      <c r="C148" s="83"/>
      <c r="D148" s="83"/>
      <c r="E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</row>
    <row r="149" spans="2:25" x14ac:dyDescent="0.2">
      <c r="B149" s="1" t="s">
        <v>465</v>
      </c>
      <c r="C149" s="83"/>
      <c r="D149" s="83"/>
      <c r="E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</row>
    <row r="150" spans="2:25" x14ac:dyDescent="0.2">
      <c r="B150" s="1" t="s">
        <v>0</v>
      </c>
      <c r="C150" s="75" t="s">
        <v>229</v>
      </c>
      <c r="D150" s="75" t="s">
        <v>230</v>
      </c>
      <c r="E150" s="75" t="s">
        <v>460</v>
      </c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</row>
    <row r="151" spans="2:25" x14ac:dyDescent="0.2">
      <c r="B151" s="2" t="s">
        <v>24</v>
      </c>
      <c r="C151" s="79">
        <f>+'Inputs Field'!D113</f>
        <v>0.5</v>
      </c>
      <c r="D151" s="34">
        <f>+'Inputs Field'!F113</f>
        <v>1</v>
      </c>
      <c r="E151" s="34">
        <f>+C151*D151*'Assumptions &amp; Costs'!E$75*(1+'Assumptions &amp; Costs'!C$81)</f>
        <v>3.1349999999999998</v>
      </c>
      <c r="H151" s="83"/>
      <c r="I151" s="83">
        <f>+$E151*F$18</f>
        <v>0</v>
      </c>
      <c r="J151" s="83">
        <f t="shared" ref="J151:Y151" si="85">+$E151*G$18</f>
        <v>10032</v>
      </c>
      <c r="K151" s="83">
        <f t="shared" si="85"/>
        <v>0</v>
      </c>
      <c r="L151" s="83">
        <f t="shared" si="85"/>
        <v>0</v>
      </c>
      <c r="M151" s="83">
        <f t="shared" si="85"/>
        <v>0</v>
      </c>
      <c r="N151" s="83">
        <f t="shared" si="85"/>
        <v>0</v>
      </c>
      <c r="O151" s="83">
        <f t="shared" si="85"/>
        <v>0</v>
      </c>
      <c r="P151" s="83">
        <f t="shared" si="85"/>
        <v>0</v>
      </c>
      <c r="Q151" s="83">
        <f t="shared" si="85"/>
        <v>0</v>
      </c>
      <c r="R151" s="83">
        <f t="shared" si="85"/>
        <v>0</v>
      </c>
      <c r="S151" s="83">
        <f t="shared" si="85"/>
        <v>0</v>
      </c>
      <c r="T151" s="83">
        <f t="shared" si="85"/>
        <v>0</v>
      </c>
      <c r="U151" s="83">
        <f t="shared" si="85"/>
        <v>0</v>
      </c>
      <c r="V151" s="83">
        <f t="shared" si="85"/>
        <v>0</v>
      </c>
      <c r="W151" s="83">
        <f t="shared" si="85"/>
        <v>0</v>
      </c>
      <c r="X151" s="83">
        <f t="shared" si="85"/>
        <v>0</v>
      </c>
      <c r="Y151" s="83">
        <f t="shared" si="85"/>
        <v>0</v>
      </c>
    </row>
    <row r="152" spans="2:25" x14ac:dyDescent="0.2">
      <c r="B152" s="2" t="s">
        <v>23</v>
      </c>
      <c r="C152" s="79">
        <f>+'Inputs Field'!D114</f>
        <v>2</v>
      </c>
      <c r="D152" s="34">
        <f>+'Inputs Field'!F114</f>
        <v>3</v>
      </c>
      <c r="E152" s="34">
        <f>+C152*D152*'Assumptions &amp; Costs'!E$76*(1+'Assumptions &amp; Costs'!C$81)</f>
        <v>34.484999999999999</v>
      </c>
      <c r="H152" s="83"/>
      <c r="I152" s="83">
        <f t="shared" ref="I152:I161" si="86">+$E152*F$18</f>
        <v>0</v>
      </c>
      <c r="J152" s="83">
        <f t="shared" ref="J152:J161" si="87">+$E152*G$18</f>
        <v>110352</v>
      </c>
      <c r="K152" s="83">
        <f t="shared" ref="K152:K161" si="88">+$E152*H$18</f>
        <v>0</v>
      </c>
      <c r="L152" s="83">
        <f t="shared" ref="L152:L161" si="89">+$E152*I$18</f>
        <v>0</v>
      </c>
      <c r="M152" s="83">
        <f t="shared" ref="M152:M161" si="90">+$E152*J$18</f>
        <v>0</v>
      </c>
      <c r="N152" s="83">
        <f t="shared" ref="N152:N161" si="91">+$E152*K$18</f>
        <v>0</v>
      </c>
      <c r="O152" s="83">
        <f t="shared" ref="O152:O161" si="92">+$E152*L$18</f>
        <v>0</v>
      </c>
      <c r="P152" s="83">
        <f t="shared" ref="P152:P161" si="93">+$E152*M$18</f>
        <v>0</v>
      </c>
      <c r="Q152" s="83">
        <f t="shared" ref="Q152:Q161" si="94">+$E152*N$18</f>
        <v>0</v>
      </c>
      <c r="R152" s="83">
        <f t="shared" ref="R152:R161" si="95">+$E152*O$18</f>
        <v>0</v>
      </c>
      <c r="S152" s="83">
        <f t="shared" ref="S152:S161" si="96">+$E152*P$18</f>
        <v>0</v>
      </c>
      <c r="T152" s="83">
        <f t="shared" ref="T152:T161" si="97">+$E152*Q$18</f>
        <v>0</v>
      </c>
      <c r="U152" s="83">
        <f t="shared" ref="U152:U161" si="98">+$E152*R$18</f>
        <v>0</v>
      </c>
      <c r="V152" s="83">
        <f t="shared" ref="V152:V161" si="99">+$E152*S$18</f>
        <v>0</v>
      </c>
      <c r="W152" s="83">
        <f t="shared" ref="W152:W161" si="100">+$E152*T$18</f>
        <v>0</v>
      </c>
      <c r="X152" s="83">
        <f t="shared" ref="X152:X161" si="101">+$E152*U$18</f>
        <v>0</v>
      </c>
      <c r="Y152" s="83">
        <f t="shared" ref="Y152:Y161" si="102">+$E152*V$18</f>
        <v>0</v>
      </c>
    </row>
    <row r="153" spans="2:25" x14ac:dyDescent="0.2">
      <c r="B153" s="2" t="s">
        <v>13</v>
      </c>
      <c r="C153" s="79">
        <f>+'Inputs Field'!D115</f>
        <v>1</v>
      </c>
      <c r="D153" s="34">
        <f>+'Inputs Field'!F115</f>
        <v>2</v>
      </c>
      <c r="E153" s="34">
        <f>+C153*D153*'Assumptions &amp; Costs'!E$76*(1+'Assumptions &amp; Costs'!C$81)</f>
        <v>11.494999999999999</v>
      </c>
      <c r="H153" s="83"/>
      <c r="I153" s="83">
        <f t="shared" si="86"/>
        <v>0</v>
      </c>
      <c r="J153" s="83">
        <f t="shared" si="87"/>
        <v>36784</v>
      </c>
      <c r="K153" s="83">
        <f t="shared" si="88"/>
        <v>0</v>
      </c>
      <c r="L153" s="83">
        <f t="shared" si="89"/>
        <v>0</v>
      </c>
      <c r="M153" s="83">
        <f t="shared" si="90"/>
        <v>0</v>
      </c>
      <c r="N153" s="83">
        <f t="shared" si="91"/>
        <v>0</v>
      </c>
      <c r="O153" s="83">
        <f t="shared" si="92"/>
        <v>0</v>
      </c>
      <c r="P153" s="83">
        <f t="shared" si="93"/>
        <v>0</v>
      </c>
      <c r="Q153" s="83">
        <f t="shared" si="94"/>
        <v>0</v>
      </c>
      <c r="R153" s="83">
        <f t="shared" si="95"/>
        <v>0</v>
      </c>
      <c r="S153" s="83">
        <f t="shared" si="96"/>
        <v>0</v>
      </c>
      <c r="T153" s="83">
        <f t="shared" si="97"/>
        <v>0</v>
      </c>
      <c r="U153" s="83">
        <f t="shared" si="98"/>
        <v>0</v>
      </c>
      <c r="V153" s="83">
        <f t="shared" si="99"/>
        <v>0</v>
      </c>
      <c r="W153" s="83">
        <f t="shared" si="100"/>
        <v>0</v>
      </c>
      <c r="X153" s="83">
        <f t="shared" si="101"/>
        <v>0</v>
      </c>
      <c r="Y153" s="83">
        <f t="shared" si="102"/>
        <v>0</v>
      </c>
    </row>
    <row r="154" spans="2:25" x14ac:dyDescent="0.2">
      <c r="B154" s="2" t="s">
        <v>32</v>
      </c>
      <c r="C154" s="79">
        <f>+'Inputs Field'!D116</f>
        <v>2</v>
      </c>
      <c r="D154" s="34">
        <f>+'Inputs Field'!F116</f>
        <v>1</v>
      </c>
      <c r="E154" s="34">
        <f>+C154*D154*'Assumptions &amp; Costs'!E$76*(1+'Assumptions &amp; Costs'!C$81)</f>
        <v>11.494999999999999</v>
      </c>
      <c r="H154" s="83"/>
      <c r="I154" s="83">
        <f t="shared" si="86"/>
        <v>0</v>
      </c>
      <c r="J154" s="83">
        <f t="shared" si="87"/>
        <v>36784</v>
      </c>
      <c r="K154" s="83">
        <f t="shared" si="88"/>
        <v>0</v>
      </c>
      <c r="L154" s="83">
        <f t="shared" si="89"/>
        <v>0</v>
      </c>
      <c r="M154" s="83">
        <f t="shared" si="90"/>
        <v>0</v>
      </c>
      <c r="N154" s="83">
        <f t="shared" si="91"/>
        <v>0</v>
      </c>
      <c r="O154" s="83">
        <f t="shared" si="92"/>
        <v>0</v>
      </c>
      <c r="P154" s="83">
        <f t="shared" si="93"/>
        <v>0</v>
      </c>
      <c r="Q154" s="83">
        <f t="shared" si="94"/>
        <v>0</v>
      </c>
      <c r="R154" s="83">
        <f t="shared" si="95"/>
        <v>0</v>
      </c>
      <c r="S154" s="83">
        <f t="shared" si="96"/>
        <v>0</v>
      </c>
      <c r="T154" s="83">
        <f t="shared" si="97"/>
        <v>0</v>
      </c>
      <c r="U154" s="83">
        <f t="shared" si="98"/>
        <v>0</v>
      </c>
      <c r="V154" s="83">
        <f t="shared" si="99"/>
        <v>0</v>
      </c>
      <c r="W154" s="83">
        <f t="shared" si="100"/>
        <v>0</v>
      </c>
      <c r="X154" s="83">
        <f t="shared" si="101"/>
        <v>0</v>
      </c>
      <c r="Y154" s="83">
        <f t="shared" si="102"/>
        <v>0</v>
      </c>
    </row>
    <row r="155" spans="2:25" s="129" customFormat="1" x14ac:dyDescent="0.2">
      <c r="B155" s="129" t="s">
        <v>34</v>
      </c>
      <c r="C155" s="79">
        <f>+'Inputs Field'!D117</f>
        <v>0.5</v>
      </c>
      <c r="D155" s="34">
        <f>+'Inputs Field'!F117</f>
        <v>6</v>
      </c>
      <c r="E155" s="34">
        <f>+C155*D155*'Assumptions &amp; Costs'!E$76*(1+'Assumptions &amp; Costs'!C$81)</f>
        <v>17.2425</v>
      </c>
      <c r="H155" s="123"/>
      <c r="I155" s="123">
        <f t="shared" ref="I155" si="103">+$E155*F$18</f>
        <v>0</v>
      </c>
      <c r="J155" s="123">
        <f t="shared" ref="J155" si="104">+$E155*G$18</f>
        <v>55176</v>
      </c>
      <c r="K155" s="123">
        <f t="shared" ref="K155" si="105">+$E155*H$18</f>
        <v>0</v>
      </c>
      <c r="L155" s="123">
        <f t="shared" ref="L155" si="106">+$E155*I$18</f>
        <v>0</v>
      </c>
      <c r="M155" s="123">
        <f t="shared" ref="M155" si="107">+$E155*J$18</f>
        <v>0</v>
      </c>
      <c r="N155" s="123">
        <f t="shared" ref="N155" si="108">+$E155*K$18</f>
        <v>0</v>
      </c>
      <c r="O155" s="123">
        <f t="shared" ref="O155" si="109">+$E155*L$18</f>
        <v>0</v>
      </c>
      <c r="P155" s="123">
        <f t="shared" ref="P155" si="110">+$E155*M$18</f>
        <v>0</v>
      </c>
      <c r="Q155" s="123">
        <f t="shared" ref="Q155" si="111">+$E155*N$18</f>
        <v>0</v>
      </c>
      <c r="R155" s="123">
        <f t="shared" ref="R155" si="112">+$E155*O$18</f>
        <v>0</v>
      </c>
      <c r="S155" s="123">
        <f t="shared" ref="S155" si="113">+$E155*P$18</f>
        <v>0</v>
      </c>
      <c r="T155" s="123">
        <f t="shared" ref="T155" si="114">+$E155*Q$18</f>
        <v>0</v>
      </c>
      <c r="U155" s="123">
        <f t="shared" ref="U155" si="115">+$E155*R$18</f>
        <v>0</v>
      </c>
      <c r="V155" s="123">
        <f t="shared" ref="V155" si="116">+$E155*S$18</f>
        <v>0</v>
      </c>
      <c r="W155" s="123">
        <f t="shared" ref="W155" si="117">+$E155*T$18</f>
        <v>0</v>
      </c>
      <c r="X155" s="123">
        <f t="shared" ref="X155" si="118">+$E155*U$18</f>
        <v>0</v>
      </c>
      <c r="Y155" s="123">
        <f t="shared" ref="Y155" si="119">+$E155*V$18</f>
        <v>0</v>
      </c>
    </row>
    <row r="156" spans="2:25" x14ac:dyDescent="0.2">
      <c r="B156" s="2" t="s">
        <v>33</v>
      </c>
      <c r="C156" s="79">
        <f>+'Inputs Field'!D118</f>
        <v>0.2</v>
      </c>
      <c r="D156" s="34">
        <f>+'Inputs Field'!F118</f>
        <v>1</v>
      </c>
      <c r="E156" s="34">
        <f>+C156*D156*'Assumptions &amp; Costs'!E$75*(1+'Assumptions &amp; Costs'!C$81)</f>
        <v>1.254</v>
      </c>
      <c r="H156" s="83"/>
      <c r="I156" s="83">
        <f t="shared" si="86"/>
        <v>0</v>
      </c>
      <c r="J156" s="83">
        <f t="shared" si="87"/>
        <v>4012.8</v>
      </c>
      <c r="K156" s="83">
        <f t="shared" si="88"/>
        <v>0</v>
      </c>
      <c r="L156" s="83">
        <f t="shared" si="89"/>
        <v>0</v>
      </c>
      <c r="M156" s="83">
        <f t="shared" si="90"/>
        <v>0</v>
      </c>
      <c r="N156" s="83">
        <f t="shared" si="91"/>
        <v>0</v>
      </c>
      <c r="O156" s="83">
        <f t="shared" si="92"/>
        <v>0</v>
      </c>
      <c r="P156" s="83">
        <f t="shared" si="93"/>
        <v>0</v>
      </c>
      <c r="Q156" s="83">
        <f t="shared" si="94"/>
        <v>0</v>
      </c>
      <c r="R156" s="83">
        <f t="shared" si="95"/>
        <v>0</v>
      </c>
      <c r="S156" s="83">
        <f t="shared" si="96"/>
        <v>0</v>
      </c>
      <c r="T156" s="83">
        <f t="shared" si="97"/>
        <v>0</v>
      </c>
      <c r="U156" s="83">
        <f t="shared" si="98"/>
        <v>0</v>
      </c>
      <c r="V156" s="83">
        <f t="shared" si="99"/>
        <v>0</v>
      </c>
      <c r="W156" s="83">
        <f t="shared" si="100"/>
        <v>0</v>
      </c>
      <c r="X156" s="83">
        <f t="shared" si="101"/>
        <v>0</v>
      </c>
      <c r="Y156" s="83">
        <f t="shared" si="102"/>
        <v>0</v>
      </c>
    </row>
    <row r="157" spans="2:25" x14ac:dyDescent="0.2">
      <c r="B157" s="2" t="s">
        <v>26</v>
      </c>
      <c r="C157" s="79">
        <f>+'Inputs Field'!D120</f>
        <v>0.5</v>
      </c>
      <c r="D157" s="34">
        <f>+'Inputs Field'!F120</f>
        <v>1</v>
      </c>
      <c r="E157" s="34">
        <f>+C157*D157*'Assumptions &amp; Costs'!E$76*(1+'Assumptions &amp; Costs'!C$81)</f>
        <v>2.8737499999999998</v>
      </c>
      <c r="H157" s="83"/>
      <c r="I157" s="83">
        <f t="shared" si="86"/>
        <v>0</v>
      </c>
      <c r="J157" s="83">
        <f t="shared" si="87"/>
        <v>9196</v>
      </c>
      <c r="K157" s="83">
        <f t="shared" si="88"/>
        <v>0</v>
      </c>
      <c r="L157" s="83">
        <f t="shared" si="89"/>
        <v>0</v>
      </c>
      <c r="M157" s="83">
        <f t="shared" si="90"/>
        <v>0</v>
      </c>
      <c r="N157" s="83">
        <f t="shared" si="91"/>
        <v>0</v>
      </c>
      <c r="O157" s="83">
        <f t="shared" si="92"/>
        <v>0</v>
      </c>
      <c r="P157" s="83">
        <f t="shared" si="93"/>
        <v>0</v>
      </c>
      <c r="Q157" s="83">
        <f t="shared" si="94"/>
        <v>0</v>
      </c>
      <c r="R157" s="83">
        <f t="shared" si="95"/>
        <v>0</v>
      </c>
      <c r="S157" s="83">
        <f t="shared" si="96"/>
        <v>0</v>
      </c>
      <c r="T157" s="83">
        <f t="shared" si="97"/>
        <v>0</v>
      </c>
      <c r="U157" s="83">
        <f t="shared" si="98"/>
        <v>0</v>
      </c>
      <c r="V157" s="83">
        <f t="shared" si="99"/>
        <v>0</v>
      </c>
      <c r="W157" s="83">
        <f t="shared" si="100"/>
        <v>0</v>
      </c>
      <c r="X157" s="83">
        <f t="shared" si="101"/>
        <v>0</v>
      </c>
      <c r="Y157" s="83">
        <f t="shared" si="102"/>
        <v>0</v>
      </c>
    </row>
    <row r="158" spans="2:25" x14ac:dyDescent="0.2">
      <c r="B158" s="2" t="s">
        <v>31</v>
      </c>
      <c r="C158" s="79">
        <f>+'Inputs Field'!D121</f>
        <v>0.5</v>
      </c>
      <c r="D158" s="34">
        <f>+'Inputs Field'!F121</f>
        <v>1</v>
      </c>
      <c r="E158" s="34">
        <f>+C158*D158*'Assumptions &amp; Costs'!E$76*(1+'Assumptions &amp; Costs'!C$81)</f>
        <v>2.8737499999999998</v>
      </c>
      <c r="H158" s="83"/>
      <c r="I158" s="83">
        <f t="shared" si="86"/>
        <v>0</v>
      </c>
      <c r="J158" s="83">
        <f t="shared" si="87"/>
        <v>9196</v>
      </c>
      <c r="K158" s="83">
        <f t="shared" si="88"/>
        <v>0</v>
      </c>
      <c r="L158" s="83">
        <f t="shared" si="89"/>
        <v>0</v>
      </c>
      <c r="M158" s="83">
        <f t="shared" si="90"/>
        <v>0</v>
      </c>
      <c r="N158" s="83">
        <f t="shared" si="91"/>
        <v>0</v>
      </c>
      <c r="O158" s="83">
        <f t="shared" si="92"/>
        <v>0</v>
      </c>
      <c r="P158" s="83">
        <f t="shared" si="93"/>
        <v>0</v>
      </c>
      <c r="Q158" s="83">
        <f t="shared" si="94"/>
        <v>0</v>
      </c>
      <c r="R158" s="83">
        <f t="shared" si="95"/>
        <v>0</v>
      </c>
      <c r="S158" s="83">
        <f t="shared" si="96"/>
        <v>0</v>
      </c>
      <c r="T158" s="83">
        <f t="shared" si="97"/>
        <v>0</v>
      </c>
      <c r="U158" s="83">
        <f t="shared" si="98"/>
        <v>0</v>
      </c>
      <c r="V158" s="83">
        <f t="shared" si="99"/>
        <v>0</v>
      </c>
      <c r="W158" s="83">
        <f t="shared" si="100"/>
        <v>0</v>
      </c>
      <c r="X158" s="83">
        <f t="shared" si="101"/>
        <v>0</v>
      </c>
      <c r="Y158" s="83">
        <f t="shared" si="102"/>
        <v>0</v>
      </c>
    </row>
    <row r="159" spans="2:25" x14ac:dyDescent="0.2">
      <c r="B159" s="2" t="s">
        <v>58</v>
      </c>
      <c r="C159" s="79">
        <f>+'Inputs Field'!D122</f>
        <v>0.5</v>
      </c>
      <c r="D159" s="34">
        <f>+'Inputs Field'!F122</f>
        <v>1</v>
      </c>
      <c r="E159" s="34">
        <f>+C159*D159*'Assumptions &amp; Costs'!E$76*(1+'Assumptions &amp; Costs'!C$81)</f>
        <v>2.8737499999999998</v>
      </c>
      <c r="H159" s="83"/>
      <c r="I159" s="83">
        <f t="shared" si="86"/>
        <v>0</v>
      </c>
      <c r="J159" s="83">
        <f t="shared" si="87"/>
        <v>9196</v>
      </c>
      <c r="K159" s="83">
        <f t="shared" si="88"/>
        <v>0</v>
      </c>
      <c r="L159" s="83">
        <f t="shared" si="89"/>
        <v>0</v>
      </c>
      <c r="M159" s="83">
        <f t="shared" si="90"/>
        <v>0</v>
      </c>
      <c r="N159" s="83">
        <f t="shared" si="91"/>
        <v>0</v>
      </c>
      <c r="O159" s="83">
        <f t="shared" si="92"/>
        <v>0</v>
      </c>
      <c r="P159" s="83">
        <f t="shared" si="93"/>
        <v>0</v>
      </c>
      <c r="Q159" s="83">
        <f t="shared" si="94"/>
        <v>0</v>
      </c>
      <c r="R159" s="83">
        <f t="shared" si="95"/>
        <v>0</v>
      </c>
      <c r="S159" s="83">
        <f t="shared" si="96"/>
        <v>0</v>
      </c>
      <c r="T159" s="83">
        <f t="shared" si="97"/>
        <v>0</v>
      </c>
      <c r="U159" s="83">
        <f t="shared" si="98"/>
        <v>0</v>
      </c>
      <c r="V159" s="83">
        <f t="shared" si="99"/>
        <v>0</v>
      </c>
      <c r="W159" s="83">
        <f t="shared" si="100"/>
        <v>0</v>
      </c>
      <c r="X159" s="83">
        <f t="shared" si="101"/>
        <v>0</v>
      </c>
      <c r="Y159" s="83">
        <f t="shared" si="102"/>
        <v>0</v>
      </c>
    </row>
    <row r="160" spans="2:25" x14ac:dyDescent="0.2">
      <c r="B160" s="2" t="s">
        <v>46</v>
      </c>
      <c r="C160" s="76">
        <f>+'Inputs Field'!D125</f>
        <v>0.1</v>
      </c>
      <c r="D160" s="34"/>
      <c r="E160" s="34">
        <f>SUMPRODUCT(C$151:C$159,D$151:D$159)*C160*'Assumptions &amp; Costs'!E78*(1+'Assumptions &amp; Costs'!C$81)</f>
        <v>11.913</v>
      </c>
      <c r="H160" s="83"/>
      <c r="I160" s="83">
        <f t="shared" si="86"/>
        <v>0</v>
      </c>
      <c r="J160" s="83">
        <f t="shared" si="87"/>
        <v>38121.599999999999</v>
      </c>
      <c r="K160" s="83">
        <f t="shared" si="88"/>
        <v>0</v>
      </c>
      <c r="L160" s="83">
        <f t="shared" si="89"/>
        <v>0</v>
      </c>
      <c r="M160" s="83">
        <f t="shared" si="90"/>
        <v>0</v>
      </c>
      <c r="N160" s="83">
        <f t="shared" si="91"/>
        <v>0</v>
      </c>
      <c r="O160" s="83">
        <f t="shared" si="92"/>
        <v>0</v>
      </c>
      <c r="P160" s="83">
        <f t="shared" si="93"/>
        <v>0</v>
      </c>
      <c r="Q160" s="83">
        <f t="shared" si="94"/>
        <v>0</v>
      </c>
      <c r="R160" s="83">
        <f t="shared" si="95"/>
        <v>0</v>
      </c>
      <c r="S160" s="83">
        <f t="shared" si="96"/>
        <v>0</v>
      </c>
      <c r="T160" s="83">
        <f t="shared" si="97"/>
        <v>0</v>
      </c>
      <c r="U160" s="83">
        <f t="shared" si="98"/>
        <v>0</v>
      </c>
      <c r="V160" s="83">
        <f t="shared" si="99"/>
        <v>0</v>
      </c>
      <c r="W160" s="83">
        <f t="shared" si="100"/>
        <v>0</v>
      </c>
      <c r="X160" s="83">
        <f t="shared" si="101"/>
        <v>0</v>
      </c>
      <c r="Y160" s="83">
        <f t="shared" si="102"/>
        <v>0</v>
      </c>
    </row>
    <row r="161" spans="2:25" x14ac:dyDescent="0.2">
      <c r="B161" s="2" t="s">
        <v>47</v>
      </c>
      <c r="C161" s="76">
        <f>+'Inputs Field'!D126</f>
        <v>0.05</v>
      </c>
      <c r="D161" s="34"/>
      <c r="E161" s="34">
        <f>SUMPRODUCT(C$151:C$159,D$151:D$159)*C161*'Assumptions &amp; Costs'!E79*(1+'Assumptions &amp; Costs'!C$81)</f>
        <v>22.909615384615382</v>
      </c>
      <c r="H161" s="83"/>
      <c r="I161" s="83">
        <f t="shared" si="86"/>
        <v>0</v>
      </c>
      <c r="J161" s="83">
        <f t="shared" si="87"/>
        <v>73310.76923076922</v>
      </c>
      <c r="K161" s="83">
        <f t="shared" si="88"/>
        <v>0</v>
      </c>
      <c r="L161" s="83">
        <f t="shared" si="89"/>
        <v>0</v>
      </c>
      <c r="M161" s="83">
        <f t="shared" si="90"/>
        <v>0</v>
      </c>
      <c r="N161" s="83">
        <f t="shared" si="91"/>
        <v>0</v>
      </c>
      <c r="O161" s="83">
        <f t="shared" si="92"/>
        <v>0</v>
      </c>
      <c r="P161" s="83">
        <f t="shared" si="93"/>
        <v>0</v>
      </c>
      <c r="Q161" s="83">
        <f t="shared" si="94"/>
        <v>0</v>
      </c>
      <c r="R161" s="83">
        <f t="shared" si="95"/>
        <v>0</v>
      </c>
      <c r="S161" s="83">
        <f t="shared" si="96"/>
        <v>0</v>
      </c>
      <c r="T161" s="83">
        <f t="shared" si="97"/>
        <v>0</v>
      </c>
      <c r="U161" s="83">
        <f t="shared" si="98"/>
        <v>0</v>
      </c>
      <c r="V161" s="83">
        <f t="shared" si="99"/>
        <v>0</v>
      </c>
      <c r="W161" s="83">
        <f t="shared" si="100"/>
        <v>0</v>
      </c>
      <c r="X161" s="83">
        <f t="shared" si="101"/>
        <v>0</v>
      </c>
      <c r="Y161" s="83">
        <f t="shared" si="102"/>
        <v>0</v>
      </c>
    </row>
    <row r="162" spans="2:25" x14ac:dyDescent="0.2">
      <c r="B162" s="1" t="s">
        <v>1</v>
      </c>
      <c r="C162" s="34"/>
      <c r="D162" s="34"/>
      <c r="E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</row>
    <row r="163" spans="2:25" x14ac:dyDescent="0.2">
      <c r="B163" s="2" t="s">
        <v>239</v>
      </c>
      <c r="C163" s="78">
        <f>+'Inputs Field'!H113</f>
        <v>1</v>
      </c>
      <c r="D163" s="34">
        <f>+'Inputs Field'!F113</f>
        <v>1</v>
      </c>
      <c r="E163" s="34">
        <f>+C163*D163*'Assumptions &amp; Costs'!C65</f>
        <v>10</v>
      </c>
      <c r="H163" s="83"/>
      <c r="I163" s="83">
        <f t="shared" ref="I163:R165" si="120">+$E163*F$18</f>
        <v>0</v>
      </c>
      <c r="J163" s="83">
        <f t="shared" si="120"/>
        <v>32000</v>
      </c>
      <c r="K163" s="83">
        <f t="shared" si="120"/>
        <v>0</v>
      </c>
      <c r="L163" s="83">
        <f t="shared" si="120"/>
        <v>0</v>
      </c>
      <c r="M163" s="83">
        <f t="shared" si="120"/>
        <v>0</v>
      </c>
      <c r="N163" s="83">
        <f t="shared" si="120"/>
        <v>0</v>
      </c>
      <c r="O163" s="83">
        <f t="shared" si="120"/>
        <v>0</v>
      </c>
      <c r="P163" s="83">
        <f t="shared" si="120"/>
        <v>0</v>
      </c>
      <c r="Q163" s="83">
        <f t="shared" si="120"/>
        <v>0</v>
      </c>
      <c r="R163" s="83">
        <f t="shared" si="120"/>
        <v>0</v>
      </c>
      <c r="S163" s="83">
        <f t="shared" ref="S163:Y165" si="121">+$E163*P$18</f>
        <v>0</v>
      </c>
      <c r="T163" s="83">
        <f t="shared" si="121"/>
        <v>0</v>
      </c>
      <c r="U163" s="83">
        <f t="shared" si="121"/>
        <v>0</v>
      </c>
      <c r="V163" s="83">
        <f t="shared" si="121"/>
        <v>0</v>
      </c>
      <c r="W163" s="83">
        <f t="shared" si="121"/>
        <v>0</v>
      </c>
      <c r="X163" s="83">
        <f t="shared" si="121"/>
        <v>0</v>
      </c>
      <c r="Y163" s="83">
        <f t="shared" si="121"/>
        <v>0</v>
      </c>
    </row>
    <row r="164" spans="2:25" x14ac:dyDescent="0.2">
      <c r="B164" s="2" t="s">
        <v>232</v>
      </c>
      <c r="C164" s="78">
        <f>+'Inputs Field'!H115</f>
        <v>2.5</v>
      </c>
      <c r="D164" s="34">
        <f>+'Inputs Field'!F115</f>
        <v>2</v>
      </c>
      <c r="E164" s="34">
        <f>+C164*D164*'Inputs Field'!H43*('Assumptions &amp; Costs'!C69+'Assumptions &amp; Costs'!C72)/1000</f>
        <v>328.27642706249992</v>
      </c>
      <c r="H164" s="83"/>
      <c r="I164" s="83">
        <f t="shared" si="120"/>
        <v>0</v>
      </c>
      <c r="J164" s="83">
        <f t="shared" si="120"/>
        <v>1050484.5665999998</v>
      </c>
      <c r="K164" s="83">
        <f t="shared" si="120"/>
        <v>0</v>
      </c>
      <c r="L164" s="83">
        <f t="shared" si="120"/>
        <v>0</v>
      </c>
      <c r="M164" s="83">
        <f t="shared" si="120"/>
        <v>0</v>
      </c>
      <c r="N164" s="83">
        <f t="shared" si="120"/>
        <v>0</v>
      </c>
      <c r="O164" s="83">
        <f t="shared" si="120"/>
        <v>0</v>
      </c>
      <c r="P164" s="83">
        <f t="shared" si="120"/>
        <v>0</v>
      </c>
      <c r="Q164" s="83">
        <f t="shared" si="120"/>
        <v>0</v>
      </c>
      <c r="R164" s="83">
        <f t="shared" si="120"/>
        <v>0</v>
      </c>
      <c r="S164" s="83">
        <f t="shared" si="121"/>
        <v>0</v>
      </c>
      <c r="T164" s="83">
        <f t="shared" si="121"/>
        <v>0</v>
      </c>
      <c r="U164" s="83">
        <f t="shared" si="121"/>
        <v>0</v>
      </c>
      <c r="V164" s="83">
        <f t="shared" si="121"/>
        <v>0</v>
      </c>
      <c r="W164" s="83">
        <f t="shared" si="121"/>
        <v>0</v>
      </c>
      <c r="X164" s="83">
        <f t="shared" si="121"/>
        <v>0</v>
      </c>
      <c r="Y164" s="83">
        <f t="shared" si="121"/>
        <v>0</v>
      </c>
    </row>
    <row r="165" spans="2:25" x14ac:dyDescent="0.2">
      <c r="B165" s="2" t="s">
        <v>240</v>
      </c>
      <c r="C165" s="78"/>
      <c r="D165" s="34"/>
      <c r="E165" s="34">
        <f>+'Inputs Field'!H118</f>
        <v>10</v>
      </c>
      <c r="H165" s="83"/>
      <c r="I165" s="83">
        <f t="shared" si="120"/>
        <v>0</v>
      </c>
      <c r="J165" s="83">
        <f t="shared" si="120"/>
        <v>32000</v>
      </c>
      <c r="K165" s="83">
        <f t="shared" si="120"/>
        <v>0</v>
      </c>
      <c r="L165" s="83">
        <f t="shared" si="120"/>
        <v>0</v>
      </c>
      <c r="M165" s="83">
        <f t="shared" si="120"/>
        <v>0</v>
      </c>
      <c r="N165" s="83">
        <f t="shared" si="120"/>
        <v>0</v>
      </c>
      <c r="O165" s="83">
        <f t="shared" si="120"/>
        <v>0</v>
      </c>
      <c r="P165" s="83">
        <f t="shared" si="120"/>
        <v>0</v>
      </c>
      <c r="Q165" s="83">
        <f t="shared" si="120"/>
        <v>0</v>
      </c>
      <c r="R165" s="83">
        <f t="shared" si="120"/>
        <v>0</v>
      </c>
      <c r="S165" s="83">
        <f t="shared" si="121"/>
        <v>0</v>
      </c>
      <c r="T165" s="83">
        <f t="shared" si="121"/>
        <v>0</v>
      </c>
      <c r="U165" s="83">
        <f t="shared" si="121"/>
        <v>0</v>
      </c>
      <c r="V165" s="83">
        <f t="shared" si="121"/>
        <v>0</v>
      </c>
      <c r="W165" s="83">
        <f t="shared" si="121"/>
        <v>0</v>
      </c>
      <c r="X165" s="83">
        <f t="shared" si="121"/>
        <v>0</v>
      </c>
      <c r="Y165" s="83">
        <f t="shared" si="121"/>
        <v>0</v>
      </c>
    </row>
    <row r="166" spans="2:25" x14ac:dyDescent="0.2">
      <c r="B166" s="1" t="s">
        <v>101</v>
      </c>
      <c r="C166" s="34"/>
      <c r="D166" s="3" t="s">
        <v>60</v>
      </c>
      <c r="E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</row>
    <row r="167" spans="2:25" x14ac:dyDescent="0.2">
      <c r="B167" s="2" t="s">
        <v>242</v>
      </c>
      <c r="C167" s="34" t="s">
        <v>241</v>
      </c>
      <c r="D167" s="73">
        <f>+'Inputs Field'!K123</f>
        <v>0.5</v>
      </c>
      <c r="E167" s="34">
        <f>+D167*'Assumptions &amp; Costs'!D88</f>
        <v>5</v>
      </c>
      <c r="H167" s="83"/>
      <c r="I167" s="83">
        <f t="shared" ref="I167:R168" si="122">+$E167*F$18</f>
        <v>0</v>
      </c>
      <c r="J167" s="83">
        <f t="shared" si="122"/>
        <v>16000</v>
      </c>
      <c r="K167" s="83">
        <f t="shared" si="122"/>
        <v>0</v>
      </c>
      <c r="L167" s="83">
        <f t="shared" si="122"/>
        <v>0</v>
      </c>
      <c r="M167" s="83">
        <f t="shared" si="122"/>
        <v>0</v>
      </c>
      <c r="N167" s="83">
        <f t="shared" si="122"/>
        <v>0</v>
      </c>
      <c r="O167" s="83">
        <f t="shared" si="122"/>
        <v>0</v>
      </c>
      <c r="P167" s="83">
        <f t="shared" si="122"/>
        <v>0</v>
      </c>
      <c r="Q167" s="83">
        <f t="shared" si="122"/>
        <v>0</v>
      </c>
      <c r="R167" s="83">
        <f t="shared" si="122"/>
        <v>0</v>
      </c>
      <c r="S167" s="83">
        <f t="shared" ref="S167:Y168" si="123">+$E167*P$18</f>
        <v>0</v>
      </c>
      <c r="T167" s="83">
        <f t="shared" si="123"/>
        <v>0</v>
      </c>
      <c r="U167" s="83">
        <f t="shared" si="123"/>
        <v>0</v>
      </c>
      <c r="V167" s="83">
        <f t="shared" si="123"/>
        <v>0</v>
      </c>
      <c r="W167" s="83">
        <f t="shared" si="123"/>
        <v>0</v>
      </c>
      <c r="X167" s="83">
        <f t="shared" si="123"/>
        <v>0</v>
      </c>
      <c r="Y167" s="83">
        <f t="shared" si="123"/>
        <v>0</v>
      </c>
    </row>
    <row r="168" spans="2:25" x14ac:dyDescent="0.2">
      <c r="B168" s="2" t="s">
        <v>233</v>
      </c>
      <c r="C168" s="76">
        <f>+'Inputs Field'!H124</f>
        <v>0.05</v>
      </c>
      <c r="D168" s="34"/>
      <c r="E168" s="34">
        <f>SUM(E151:E159)*C168</f>
        <v>4.3863875000000005</v>
      </c>
      <c r="H168" s="83"/>
      <c r="I168" s="83">
        <f t="shared" si="122"/>
        <v>0</v>
      </c>
      <c r="J168" s="83">
        <f t="shared" si="122"/>
        <v>14036.440000000002</v>
      </c>
      <c r="K168" s="83">
        <f t="shared" si="122"/>
        <v>0</v>
      </c>
      <c r="L168" s="83">
        <f t="shared" si="122"/>
        <v>0</v>
      </c>
      <c r="M168" s="83">
        <f t="shared" si="122"/>
        <v>0</v>
      </c>
      <c r="N168" s="83">
        <f t="shared" si="122"/>
        <v>0</v>
      </c>
      <c r="O168" s="83">
        <f t="shared" si="122"/>
        <v>0</v>
      </c>
      <c r="P168" s="83">
        <f t="shared" si="122"/>
        <v>0</v>
      </c>
      <c r="Q168" s="83">
        <f t="shared" si="122"/>
        <v>0</v>
      </c>
      <c r="R168" s="83">
        <f t="shared" si="122"/>
        <v>0</v>
      </c>
      <c r="S168" s="83">
        <f t="shared" si="123"/>
        <v>0</v>
      </c>
      <c r="T168" s="83">
        <f t="shared" si="123"/>
        <v>0</v>
      </c>
      <c r="U168" s="83">
        <f t="shared" si="123"/>
        <v>0</v>
      </c>
      <c r="V168" s="83">
        <f t="shared" si="123"/>
        <v>0</v>
      </c>
      <c r="W168" s="83">
        <f t="shared" si="123"/>
        <v>0</v>
      </c>
      <c r="X168" s="83">
        <f t="shared" si="123"/>
        <v>0</v>
      </c>
      <c r="Y168" s="83">
        <f t="shared" si="123"/>
        <v>0</v>
      </c>
    </row>
    <row r="169" spans="2:25" x14ac:dyDescent="0.2">
      <c r="B169" s="1" t="s">
        <v>86</v>
      </c>
      <c r="C169" s="83"/>
      <c r="D169" s="83"/>
      <c r="E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</row>
    <row r="170" spans="2:25" x14ac:dyDescent="0.2">
      <c r="B170" s="2" t="s">
        <v>234</v>
      </c>
      <c r="C170" s="83"/>
      <c r="D170" s="83"/>
      <c r="E170" s="34">
        <f>SUM(E151:E161)</f>
        <v>122.55036538461538</v>
      </c>
      <c r="H170" s="83"/>
      <c r="I170" s="77">
        <f>SUM(I151:I161)</f>
        <v>0</v>
      </c>
      <c r="J170" s="77">
        <f t="shared" ref="J170:Y170" si="124">SUM(J151:J161)</f>
        <v>392161.16923076916</v>
      </c>
      <c r="K170" s="77">
        <f t="shared" si="124"/>
        <v>0</v>
      </c>
      <c r="L170" s="77">
        <f t="shared" si="124"/>
        <v>0</v>
      </c>
      <c r="M170" s="77">
        <f t="shared" si="124"/>
        <v>0</v>
      </c>
      <c r="N170" s="77">
        <f t="shared" si="124"/>
        <v>0</v>
      </c>
      <c r="O170" s="77">
        <f t="shared" si="124"/>
        <v>0</v>
      </c>
      <c r="P170" s="77">
        <f t="shared" si="124"/>
        <v>0</v>
      </c>
      <c r="Q170" s="77">
        <f t="shared" si="124"/>
        <v>0</v>
      </c>
      <c r="R170" s="77">
        <f t="shared" si="124"/>
        <v>0</v>
      </c>
      <c r="S170" s="77">
        <f t="shared" si="124"/>
        <v>0</v>
      </c>
      <c r="T170" s="77">
        <f t="shared" si="124"/>
        <v>0</v>
      </c>
      <c r="U170" s="77">
        <f t="shared" si="124"/>
        <v>0</v>
      </c>
      <c r="V170" s="77">
        <f t="shared" si="124"/>
        <v>0</v>
      </c>
      <c r="W170" s="77">
        <f t="shared" si="124"/>
        <v>0</v>
      </c>
      <c r="X170" s="77">
        <f t="shared" si="124"/>
        <v>0</v>
      </c>
      <c r="Y170" s="77">
        <f t="shared" si="124"/>
        <v>0</v>
      </c>
    </row>
    <row r="171" spans="2:25" x14ac:dyDescent="0.2">
      <c r="B171" s="2" t="s">
        <v>1</v>
      </c>
      <c r="C171" s="83"/>
      <c r="D171" s="83"/>
      <c r="E171" s="34">
        <f>SUM(E163:E165)</f>
        <v>348.27642706249992</v>
      </c>
      <c r="H171" s="83"/>
      <c r="I171" s="77">
        <f>SUM(I163:I165)</f>
        <v>0</v>
      </c>
      <c r="J171" s="77">
        <f t="shared" ref="J171:Y171" si="125">SUM(J163:J165)</f>
        <v>1114484.5665999998</v>
      </c>
      <c r="K171" s="77">
        <f t="shared" si="125"/>
        <v>0</v>
      </c>
      <c r="L171" s="77">
        <f t="shared" si="125"/>
        <v>0</v>
      </c>
      <c r="M171" s="77">
        <f t="shared" si="125"/>
        <v>0</v>
      </c>
      <c r="N171" s="77">
        <f t="shared" si="125"/>
        <v>0</v>
      </c>
      <c r="O171" s="77">
        <f t="shared" si="125"/>
        <v>0</v>
      </c>
      <c r="P171" s="77">
        <f t="shared" si="125"/>
        <v>0</v>
      </c>
      <c r="Q171" s="77">
        <f t="shared" si="125"/>
        <v>0</v>
      </c>
      <c r="R171" s="77">
        <f t="shared" si="125"/>
        <v>0</v>
      </c>
      <c r="S171" s="77">
        <f t="shared" si="125"/>
        <v>0</v>
      </c>
      <c r="T171" s="77">
        <f t="shared" si="125"/>
        <v>0</v>
      </c>
      <c r="U171" s="77">
        <f t="shared" si="125"/>
        <v>0</v>
      </c>
      <c r="V171" s="77">
        <f t="shared" si="125"/>
        <v>0</v>
      </c>
      <c r="W171" s="77">
        <f t="shared" si="125"/>
        <v>0</v>
      </c>
      <c r="X171" s="77">
        <f t="shared" si="125"/>
        <v>0</v>
      </c>
      <c r="Y171" s="77">
        <f t="shared" si="125"/>
        <v>0</v>
      </c>
    </row>
    <row r="172" spans="2:25" x14ac:dyDescent="0.2">
      <c r="B172" s="2" t="s">
        <v>101</v>
      </c>
      <c r="C172" s="83"/>
      <c r="D172" s="83"/>
      <c r="E172" s="34">
        <f>SUM(E167:E168)</f>
        <v>9.3863875000000014</v>
      </c>
      <c r="H172" s="83"/>
      <c r="I172" s="77">
        <f>SUM(I167:I168)</f>
        <v>0</v>
      </c>
      <c r="J172" s="77">
        <f t="shared" ref="J172:Y172" si="126">SUM(J167:J168)</f>
        <v>30036.440000000002</v>
      </c>
      <c r="K172" s="77">
        <f t="shared" si="126"/>
        <v>0</v>
      </c>
      <c r="L172" s="77">
        <f t="shared" si="126"/>
        <v>0</v>
      </c>
      <c r="M172" s="77">
        <f t="shared" si="126"/>
        <v>0</v>
      </c>
      <c r="N172" s="77">
        <f t="shared" si="126"/>
        <v>0</v>
      </c>
      <c r="O172" s="77">
        <f t="shared" si="126"/>
        <v>0</v>
      </c>
      <c r="P172" s="77">
        <f t="shared" si="126"/>
        <v>0</v>
      </c>
      <c r="Q172" s="77">
        <f t="shared" si="126"/>
        <v>0</v>
      </c>
      <c r="R172" s="77">
        <f t="shared" si="126"/>
        <v>0</v>
      </c>
      <c r="S172" s="77">
        <f t="shared" si="126"/>
        <v>0</v>
      </c>
      <c r="T172" s="77">
        <f t="shared" si="126"/>
        <v>0</v>
      </c>
      <c r="U172" s="77">
        <f t="shared" si="126"/>
        <v>0</v>
      </c>
      <c r="V172" s="77">
        <f t="shared" si="126"/>
        <v>0</v>
      </c>
      <c r="W172" s="77">
        <f t="shared" si="126"/>
        <v>0</v>
      </c>
      <c r="X172" s="77">
        <f t="shared" si="126"/>
        <v>0</v>
      </c>
      <c r="Y172" s="77">
        <f t="shared" si="126"/>
        <v>0</v>
      </c>
    </row>
    <row r="173" spans="2:25" x14ac:dyDescent="0.2">
      <c r="B173" s="1" t="s">
        <v>114</v>
      </c>
      <c r="C173" s="83"/>
      <c r="D173" s="83"/>
      <c r="E173" s="34">
        <f>SUM(E170:E172)</f>
        <v>480.21317994711529</v>
      </c>
      <c r="H173" s="83"/>
      <c r="I173" s="77">
        <f>SUM(I170:I172)</f>
        <v>0</v>
      </c>
      <c r="J173" s="77">
        <f t="shared" ref="J173:Y173" si="127">SUM(J170:J172)</f>
        <v>1536682.1758307689</v>
      </c>
      <c r="K173" s="77">
        <f t="shared" si="127"/>
        <v>0</v>
      </c>
      <c r="L173" s="77">
        <f t="shared" si="127"/>
        <v>0</v>
      </c>
      <c r="M173" s="77">
        <f t="shared" si="127"/>
        <v>0</v>
      </c>
      <c r="N173" s="77">
        <f t="shared" si="127"/>
        <v>0</v>
      </c>
      <c r="O173" s="77">
        <f t="shared" si="127"/>
        <v>0</v>
      </c>
      <c r="P173" s="77">
        <f t="shared" si="127"/>
        <v>0</v>
      </c>
      <c r="Q173" s="77">
        <f t="shared" si="127"/>
        <v>0</v>
      </c>
      <c r="R173" s="77">
        <f t="shared" si="127"/>
        <v>0</v>
      </c>
      <c r="S173" s="77">
        <f t="shared" si="127"/>
        <v>0</v>
      </c>
      <c r="T173" s="77">
        <f t="shared" si="127"/>
        <v>0</v>
      </c>
      <c r="U173" s="77">
        <f t="shared" si="127"/>
        <v>0</v>
      </c>
      <c r="V173" s="77">
        <f t="shared" si="127"/>
        <v>0</v>
      </c>
      <c r="W173" s="77">
        <f t="shared" si="127"/>
        <v>0</v>
      </c>
      <c r="X173" s="77">
        <f t="shared" si="127"/>
        <v>0</v>
      </c>
      <c r="Y173" s="77">
        <f t="shared" si="127"/>
        <v>0</v>
      </c>
    </row>
    <row r="174" spans="2:25" x14ac:dyDescent="0.2">
      <c r="C174" s="83"/>
      <c r="D174" s="83"/>
      <c r="E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</row>
    <row r="175" spans="2:25" x14ac:dyDescent="0.2">
      <c r="B175" s="1" t="s">
        <v>110</v>
      </c>
      <c r="C175" s="83"/>
      <c r="D175" s="83"/>
      <c r="E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spans="2:25" x14ac:dyDescent="0.2">
      <c r="B176" s="1" t="s">
        <v>0</v>
      </c>
      <c r="C176" s="75" t="s">
        <v>229</v>
      </c>
      <c r="D176" s="75" t="s">
        <v>230</v>
      </c>
      <c r="E176" s="75" t="s">
        <v>460</v>
      </c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</row>
    <row r="177" spans="2:25" x14ac:dyDescent="0.2">
      <c r="B177" s="2" t="s">
        <v>24</v>
      </c>
      <c r="C177" s="79">
        <f>+'Inputs Field'!D133</f>
        <v>0.5</v>
      </c>
      <c r="D177" s="34">
        <f>+'Inputs Field'!F133</f>
        <v>2</v>
      </c>
      <c r="E177" s="34">
        <f>+C177*D177*'Assumptions &amp; Costs'!E$75*(1+'Assumptions &amp; Costs'!C$81)</f>
        <v>6.27</v>
      </c>
      <c r="G177" s="83"/>
      <c r="J177" s="83">
        <f>+$E177*SUM($F$18:F$18)</f>
        <v>0</v>
      </c>
      <c r="K177" s="83">
        <f>+$E177*SUM($F$18:G$18)</f>
        <v>20064</v>
      </c>
      <c r="L177" s="83">
        <f>+$E177*SUM($F$18:H$18)</f>
        <v>20064</v>
      </c>
      <c r="M177" s="83">
        <f>+$E177*SUM($F$18:I$18)</f>
        <v>20064</v>
      </c>
      <c r="N177" s="83">
        <f>+$E177*SUM($F$18:J$18)</f>
        <v>20064</v>
      </c>
      <c r="O177" s="83">
        <f>+$E177*SUM($F$18:K$18)</f>
        <v>20064</v>
      </c>
      <c r="P177" s="83">
        <f>+$E177*SUM($F$18:L$18)</f>
        <v>20064</v>
      </c>
      <c r="Q177" s="83">
        <f>+$E177*SUM($F$18:M$18)</f>
        <v>20064</v>
      </c>
      <c r="R177" s="83">
        <f>+$E177*SUM($F$18:N$18)</f>
        <v>20064</v>
      </c>
      <c r="S177" s="83">
        <f>+$E177*SUM($F$18:O$18)</f>
        <v>20064</v>
      </c>
      <c r="T177" s="83">
        <f>+$E177*SUM($F$18:P$18)</f>
        <v>20064</v>
      </c>
      <c r="U177" s="83">
        <f>+$E177*SUM($F$18:Q$18)</f>
        <v>20064</v>
      </c>
      <c r="V177" s="83">
        <f>+$E177*SUM($F$18:R$18)</f>
        <v>20064</v>
      </c>
      <c r="W177" s="83">
        <f>+$E177*SUM($F$18:S$18)</f>
        <v>20064</v>
      </c>
      <c r="X177" s="83">
        <f>+$E177*SUM($F$18:T$18)</f>
        <v>20064</v>
      </c>
      <c r="Y177" s="83">
        <f>+$E177*SUM($F$18:U$18)</f>
        <v>20064</v>
      </c>
    </row>
    <row r="178" spans="2:25" x14ac:dyDescent="0.2">
      <c r="B178" s="2" t="s">
        <v>81</v>
      </c>
      <c r="C178" s="79">
        <f>+'Inputs Field'!D134</f>
        <v>0.5</v>
      </c>
      <c r="D178" s="34">
        <f>+'Inputs Field'!F134</f>
        <v>4</v>
      </c>
      <c r="E178" s="34">
        <f>+C178*D178*'Assumptions &amp; Costs'!E$75*(1+'Assumptions &amp; Costs'!C$81)</f>
        <v>12.54</v>
      </c>
      <c r="G178" s="83"/>
      <c r="J178" s="83">
        <f>+$E178*SUM($F$18:F$18)</f>
        <v>0</v>
      </c>
      <c r="K178" s="83">
        <f>+$E178*SUM($F$18:G$18)</f>
        <v>40128</v>
      </c>
      <c r="L178" s="83">
        <f>+$E178*SUM($F$18:H$18)</f>
        <v>40128</v>
      </c>
      <c r="M178" s="83">
        <f>+$E178*SUM($F$18:I$18)</f>
        <v>40128</v>
      </c>
      <c r="N178" s="83">
        <f>+$E178*SUM($F$18:J$18)</f>
        <v>40128</v>
      </c>
      <c r="O178" s="83">
        <f>+$E178*SUM($F$18:K$18)</f>
        <v>40128</v>
      </c>
      <c r="P178" s="83">
        <f>+$E178*SUM($F$18:L$18)</f>
        <v>40128</v>
      </c>
      <c r="Q178" s="83">
        <f>+$E178*SUM($F$18:M$18)</f>
        <v>40128</v>
      </c>
      <c r="R178" s="83">
        <f>+$E178*SUM($F$18:N$18)</f>
        <v>40128</v>
      </c>
      <c r="S178" s="83">
        <f>+$E178*SUM($F$18:O$18)</f>
        <v>40128</v>
      </c>
      <c r="T178" s="83">
        <f>+$E178*SUM($F$18:P$18)</f>
        <v>40128</v>
      </c>
      <c r="U178" s="83">
        <f>+$E178*SUM($F$18:Q$18)</f>
        <v>40128</v>
      </c>
      <c r="V178" s="83">
        <f>+$E178*SUM($F$18:R$18)</f>
        <v>40128</v>
      </c>
      <c r="W178" s="83">
        <f>+$E178*SUM($F$18:S$18)</f>
        <v>40128</v>
      </c>
      <c r="X178" s="83">
        <f>+$E178*SUM($F$18:T$18)</f>
        <v>40128</v>
      </c>
      <c r="Y178" s="83">
        <f>+$E178*SUM($F$18:U$18)</f>
        <v>40128</v>
      </c>
    </row>
    <row r="179" spans="2:25" x14ac:dyDescent="0.2">
      <c r="B179" s="2" t="s">
        <v>78</v>
      </c>
      <c r="C179" s="79">
        <f>+'Inputs Field'!D135</f>
        <v>0.2</v>
      </c>
      <c r="D179" s="34">
        <f>+'Inputs Field'!F135</f>
        <v>4</v>
      </c>
      <c r="E179" s="34">
        <f>+C179*D179*'Assumptions &amp; Costs'!E$75*(1+'Assumptions &amp; Costs'!C$81)</f>
        <v>5.016</v>
      </c>
      <c r="G179" s="83"/>
      <c r="J179" s="83">
        <f>+$E179*SUM($F$18:F$18)</f>
        <v>0</v>
      </c>
      <c r="K179" s="83">
        <f>+$E179*SUM($F$18:G$18)</f>
        <v>16051.2</v>
      </c>
      <c r="L179" s="83">
        <f>+$E179*SUM($F$18:H$18)</f>
        <v>16051.2</v>
      </c>
      <c r="M179" s="83">
        <f>+$E179*SUM($F$18:I$18)</f>
        <v>16051.2</v>
      </c>
      <c r="N179" s="83">
        <f>+$E179*SUM($F$18:J$18)</f>
        <v>16051.2</v>
      </c>
      <c r="O179" s="83">
        <f>+$E179*SUM($F$18:K$18)</f>
        <v>16051.2</v>
      </c>
      <c r="P179" s="83">
        <f>+$E179*SUM($F$18:L$18)</f>
        <v>16051.2</v>
      </c>
      <c r="Q179" s="83">
        <f>+$E179*SUM($F$18:M$18)</f>
        <v>16051.2</v>
      </c>
      <c r="R179" s="83">
        <f>+$E179*SUM($F$18:N$18)</f>
        <v>16051.2</v>
      </c>
      <c r="S179" s="83">
        <f>+$E179*SUM($F$18:O$18)</f>
        <v>16051.2</v>
      </c>
      <c r="T179" s="83">
        <f>+$E179*SUM($F$18:P$18)</f>
        <v>16051.2</v>
      </c>
      <c r="U179" s="83">
        <f>+$E179*SUM($F$18:Q$18)</f>
        <v>16051.2</v>
      </c>
      <c r="V179" s="83">
        <f>+$E179*SUM($F$18:R$18)</f>
        <v>16051.2</v>
      </c>
      <c r="W179" s="83">
        <f>+$E179*SUM($F$18:S$18)</f>
        <v>16051.2</v>
      </c>
      <c r="X179" s="83">
        <f>+$E179*SUM($F$18:T$18)</f>
        <v>16051.2</v>
      </c>
      <c r="Y179" s="83">
        <f>+$E179*SUM($F$18:U$18)</f>
        <v>16051.2</v>
      </c>
    </row>
    <row r="180" spans="2:25" x14ac:dyDescent="0.2">
      <c r="B180" s="2" t="s">
        <v>13</v>
      </c>
      <c r="C180" s="79">
        <f>+'Inputs Field'!D136</f>
        <v>1</v>
      </c>
      <c r="D180" s="34">
        <f>+'Inputs Field'!F136</f>
        <v>2</v>
      </c>
      <c r="E180" s="34">
        <f>+C180*D180*'Assumptions &amp; Costs'!E$76*(1+'Assumptions &amp; Costs'!C$81)</f>
        <v>11.494999999999999</v>
      </c>
      <c r="G180" s="83"/>
      <c r="J180" s="83">
        <f>+$E180*SUM($F$18:F$18)</f>
        <v>0</v>
      </c>
      <c r="K180" s="83">
        <f>+$E180*SUM($F$18:G$18)</f>
        <v>36784</v>
      </c>
      <c r="L180" s="83">
        <f>+$E180*SUM($F$18:H$18)</f>
        <v>36784</v>
      </c>
      <c r="M180" s="83">
        <f>+$E180*SUM($F$18:I$18)</f>
        <v>36784</v>
      </c>
      <c r="N180" s="83">
        <f>+$E180*SUM($F$18:J$18)</f>
        <v>36784</v>
      </c>
      <c r="O180" s="83">
        <f>+$E180*SUM($F$18:K$18)</f>
        <v>36784</v>
      </c>
      <c r="P180" s="83">
        <f>+$E180*SUM($F$18:L$18)</f>
        <v>36784</v>
      </c>
      <c r="Q180" s="83">
        <f>+$E180*SUM($F$18:M$18)</f>
        <v>36784</v>
      </c>
      <c r="R180" s="83">
        <f>+$E180*SUM($F$18:N$18)</f>
        <v>36784</v>
      </c>
      <c r="S180" s="83">
        <f>+$E180*SUM($F$18:O$18)</f>
        <v>36784</v>
      </c>
      <c r="T180" s="83">
        <f>+$E180*SUM($F$18:P$18)</f>
        <v>36784</v>
      </c>
      <c r="U180" s="83">
        <f>+$E180*SUM($F$18:Q$18)</f>
        <v>36784</v>
      </c>
      <c r="V180" s="83">
        <f>+$E180*SUM($F$18:R$18)</f>
        <v>36784</v>
      </c>
      <c r="W180" s="83">
        <f>+$E180*SUM($F$18:S$18)</f>
        <v>36784</v>
      </c>
      <c r="X180" s="83">
        <f>+$E180*SUM($F$18:T$18)</f>
        <v>36784</v>
      </c>
      <c r="Y180" s="83">
        <f>+$E180*SUM($F$18:U$18)</f>
        <v>36784</v>
      </c>
    </row>
    <row r="181" spans="2:25" x14ac:dyDescent="0.2">
      <c r="B181" s="2" t="s">
        <v>32</v>
      </c>
      <c r="C181" s="79">
        <f>+'Inputs Field'!D137</f>
        <v>1</v>
      </c>
      <c r="D181" s="34">
        <f>+'Inputs Field'!F137</f>
        <v>1</v>
      </c>
      <c r="E181" s="34">
        <f>+C181*D181*'Assumptions &amp; Costs'!E$76*(1+'Assumptions &amp; Costs'!C$81)</f>
        <v>5.7474999999999996</v>
      </c>
      <c r="G181" s="83"/>
      <c r="J181" s="83">
        <f>+$E181*SUM($F$18:F$18)</f>
        <v>0</v>
      </c>
      <c r="K181" s="83">
        <f>+$E181*SUM($F$18:G$18)</f>
        <v>18392</v>
      </c>
      <c r="L181" s="83">
        <f>+$E181*SUM($F$18:H$18)</f>
        <v>18392</v>
      </c>
      <c r="M181" s="83">
        <f>+$E181*SUM($F$18:I$18)</f>
        <v>18392</v>
      </c>
      <c r="N181" s="83">
        <f>+$E181*SUM($F$18:J$18)</f>
        <v>18392</v>
      </c>
      <c r="O181" s="83">
        <f>+$E181*SUM($F$18:K$18)</f>
        <v>18392</v>
      </c>
      <c r="P181" s="83">
        <f>+$E181*SUM($F$18:L$18)</f>
        <v>18392</v>
      </c>
      <c r="Q181" s="83">
        <f>+$E181*SUM($F$18:M$18)</f>
        <v>18392</v>
      </c>
      <c r="R181" s="83">
        <f>+$E181*SUM($F$18:N$18)</f>
        <v>18392</v>
      </c>
      <c r="S181" s="83">
        <f>+$E181*SUM($F$18:O$18)</f>
        <v>18392</v>
      </c>
      <c r="T181" s="83">
        <f>+$E181*SUM($F$18:P$18)</f>
        <v>18392</v>
      </c>
      <c r="U181" s="83">
        <f>+$E181*SUM($F$18:Q$18)</f>
        <v>18392</v>
      </c>
      <c r="V181" s="83">
        <f>+$E181*SUM($F$18:R$18)</f>
        <v>18392</v>
      </c>
      <c r="W181" s="83">
        <f>+$E181*SUM($F$18:S$18)</f>
        <v>18392</v>
      </c>
      <c r="X181" s="83">
        <f>+$E181*SUM($F$18:T$18)</f>
        <v>18392</v>
      </c>
      <c r="Y181" s="83">
        <f>+$E181*SUM($F$18:U$18)</f>
        <v>18392</v>
      </c>
    </row>
    <row r="182" spans="2:25" x14ac:dyDescent="0.2">
      <c r="B182" s="2" t="s">
        <v>84</v>
      </c>
      <c r="C182" s="79">
        <f>+'Inputs Field'!D138</f>
        <v>0.5</v>
      </c>
      <c r="D182" s="34">
        <f>+'Inputs Field'!F138</f>
        <v>1</v>
      </c>
      <c r="E182" s="34">
        <f>+C182*D182*'Assumptions &amp; Costs'!E$76*(1+'Assumptions &amp; Costs'!C$81)</f>
        <v>2.8737499999999998</v>
      </c>
      <c r="G182" s="83"/>
      <c r="J182" s="83">
        <f>+$E182*SUM($F$18:F$18)</f>
        <v>0</v>
      </c>
      <c r="K182" s="83">
        <f>+$E182*SUM($F$18:G$18)</f>
        <v>9196</v>
      </c>
      <c r="L182" s="83">
        <f>+$E182*SUM($F$18:H$18)</f>
        <v>9196</v>
      </c>
      <c r="M182" s="83">
        <f>+$E182*SUM($F$18:I$18)</f>
        <v>9196</v>
      </c>
      <c r="N182" s="83">
        <f>+$E182*SUM($F$18:J$18)</f>
        <v>9196</v>
      </c>
      <c r="O182" s="83">
        <f>+$E182*SUM($F$18:K$18)</f>
        <v>9196</v>
      </c>
      <c r="P182" s="83">
        <f>+$E182*SUM($F$18:L$18)</f>
        <v>9196</v>
      </c>
      <c r="Q182" s="83">
        <f>+$E182*SUM($F$18:M$18)</f>
        <v>9196</v>
      </c>
      <c r="R182" s="83">
        <f>+$E182*SUM($F$18:N$18)</f>
        <v>9196</v>
      </c>
      <c r="S182" s="83">
        <f>+$E182*SUM($F$18:O$18)</f>
        <v>9196</v>
      </c>
      <c r="T182" s="83">
        <f>+$E182*SUM($F$18:P$18)</f>
        <v>9196</v>
      </c>
      <c r="U182" s="83">
        <f>+$E182*SUM($F$18:Q$18)</f>
        <v>9196</v>
      </c>
      <c r="V182" s="83">
        <f>+$E182*SUM($F$18:R$18)</f>
        <v>9196</v>
      </c>
      <c r="W182" s="83">
        <f>+$E182*SUM($F$18:S$18)</f>
        <v>9196</v>
      </c>
      <c r="X182" s="83">
        <f>+$E182*SUM($F$18:T$18)</f>
        <v>9196</v>
      </c>
      <c r="Y182" s="83">
        <f>+$E182*SUM($F$18:U$18)</f>
        <v>9196</v>
      </c>
    </row>
    <row r="183" spans="2:25" x14ac:dyDescent="0.2">
      <c r="B183" s="2" t="s">
        <v>33</v>
      </c>
      <c r="C183" s="79">
        <f>+'Inputs Field'!D139</f>
        <v>1</v>
      </c>
      <c r="D183" s="34">
        <f>+'Inputs Field'!F139</f>
        <v>1</v>
      </c>
      <c r="E183" s="34">
        <f>+C183*D183*'Assumptions &amp; Costs'!E$76*(1+'Assumptions &amp; Costs'!C$81)</f>
        <v>5.7474999999999996</v>
      </c>
      <c r="G183" s="83"/>
      <c r="J183" s="83">
        <f>+$E183*SUM($F$18:F$18)</f>
        <v>0</v>
      </c>
      <c r="K183" s="83">
        <f>+$E183*SUM($F$18:G$18)</f>
        <v>18392</v>
      </c>
      <c r="L183" s="83">
        <f>+$E183*SUM($F$18:H$18)</f>
        <v>18392</v>
      </c>
      <c r="M183" s="83">
        <f>+$E183*SUM($F$18:I$18)</f>
        <v>18392</v>
      </c>
      <c r="N183" s="83">
        <f>+$E183*SUM($F$18:J$18)</f>
        <v>18392</v>
      </c>
      <c r="O183" s="83">
        <f>+$E183*SUM($F$18:K$18)</f>
        <v>18392</v>
      </c>
      <c r="P183" s="83">
        <f>+$E183*SUM($F$18:L$18)</f>
        <v>18392</v>
      </c>
      <c r="Q183" s="83">
        <f>+$E183*SUM($F$18:M$18)</f>
        <v>18392</v>
      </c>
      <c r="R183" s="83">
        <f>+$E183*SUM($F$18:N$18)</f>
        <v>18392</v>
      </c>
      <c r="S183" s="83">
        <f>+$E183*SUM($F$18:O$18)</f>
        <v>18392</v>
      </c>
      <c r="T183" s="83">
        <f>+$E183*SUM($F$18:P$18)</f>
        <v>18392</v>
      </c>
      <c r="U183" s="83">
        <f>+$E183*SUM($F$18:Q$18)</f>
        <v>18392</v>
      </c>
      <c r="V183" s="83">
        <f>+$E183*SUM($F$18:R$18)</f>
        <v>18392</v>
      </c>
      <c r="W183" s="83">
        <f>+$E183*SUM($F$18:S$18)</f>
        <v>18392</v>
      </c>
      <c r="X183" s="83">
        <f>+$E183*SUM($F$18:T$18)</f>
        <v>18392</v>
      </c>
      <c r="Y183" s="83">
        <f>+$E183*SUM($F$18:U$18)</f>
        <v>18392</v>
      </c>
    </row>
    <row r="184" spans="2:25" x14ac:dyDescent="0.2">
      <c r="B184" s="2" t="s">
        <v>26</v>
      </c>
      <c r="C184" s="79">
        <f>+'Inputs Field'!D140</f>
        <v>0.1</v>
      </c>
      <c r="D184" s="34">
        <f>+'Inputs Field'!F140</f>
        <v>2</v>
      </c>
      <c r="E184" s="34">
        <f>+C184*D184*'Assumptions &amp; Costs'!E$76*(1+'Assumptions &amp; Costs'!C$81)</f>
        <v>1.1495</v>
      </c>
      <c r="G184" s="83"/>
      <c r="J184" s="83">
        <f>+$E184*SUM($F$18:F$18)</f>
        <v>0</v>
      </c>
      <c r="K184" s="83">
        <f>+$E184*SUM($F$18:G$18)</f>
        <v>3678.4</v>
      </c>
      <c r="L184" s="83">
        <f>+$E184*SUM($F$18:H$18)</f>
        <v>3678.4</v>
      </c>
      <c r="M184" s="83">
        <f>+$E184*SUM($F$18:I$18)</f>
        <v>3678.4</v>
      </c>
      <c r="N184" s="83">
        <f>+$E184*SUM($F$18:J$18)</f>
        <v>3678.4</v>
      </c>
      <c r="O184" s="83">
        <f>+$E184*SUM($F$18:K$18)</f>
        <v>3678.4</v>
      </c>
      <c r="P184" s="83">
        <f>+$E184*SUM($F$18:L$18)</f>
        <v>3678.4</v>
      </c>
      <c r="Q184" s="83">
        <f>+$E184*SUM($F$18:M$18)</f>
        <v>3678.4</v>
      </c>
      <c r="R184" s="83">
        <f>+$E184*SUM($F$18:N$18)</f>
        <v>3678.4</v>
      </c>
      <c r="S184" s="83">
        <f>+$E184*SUM($F$18:O$18)</f>
        <v>3678.4</v>
      </c>
      <c r="T184" s="83">
        <f>+$E184*SUM($F$18:P$18)</f>
        <v>3678.4</v>
      </c>
      <c r="U184" s="83">
        <f>+$E184*SUM($F$18:Q$18)</f>
        <v>3678.4</v>
      </c>
      <c r="V184" s="83">
        <f>+$E184*SUM($F$18:R$18)</f>
        <v>3678.4</v>
      </c>
      <c r="W184" s="83">
        <f>+$E184*SUM($F$18:S$18)</f>
        <v>3678.4</v>
      </c>
      <c r="X184" s="83">
        <f>+$E184*SUM($F$18:T$18)</f>
        <v>3678.4</v>
      </c>
      <c r="Y184" s="83">
        <f>+$E184*SUM($F$18:U$18)</f>
        <v>3678.4</v>
      </c>
    </row>
    <row r="185" spans="2:25" x14ac:dyDescent="0.2">
      <c r="B185" s="2" t="s">
        <v>31</v>
      </c>
      <c r="C185" s="79">
        <f>+'Inputs Field'!D141</f>
        <v>0.1</v>
      </c>
      <c r="D185" s="34">
        <f>+'Inputs Field'!F141</f>
        <v>2</v>
      </c>
      <c r="E185" s="34">
        <f>+C185*D185*'Assumptions &amp; Costs'!E$76*(1+'Assumptions &amp; Costs'!C$81)</f>
        <v>1.1495</v>
      </c>
      <c r="G185" s="83"/>
      <c r="J185" s="83">
        <f>+$E185*SUM($F$18:F$18)</f>
        <v>0</v>
      </c>
      <c r="K185" s="83">
        <f>+$E185*SUM($F$18:G$18)</f>
        <v>3678.4</v>
      </c>
      <c r="L185" s="83">
        <f>+$E185*SUM($F$18:H$18)</f>
        <v>3678.4</v>
      </c>
      <c r="M185" s="83">
        <f>+$E185*SUM($F$18:I$18)</f>
        <v>3678.4</v>
      </c>
      <c r="N185" s="83">
        <f>+$E185*SUM($F$18:J$18)</f>
        <v>3678.4</v>
      </c>
      <c r="O185" s="83">
        <f>+$E185*SUM($F$18:K$18)</f>
        <v>3678.4</v>
      </c>
      <c r="P185" s="83">
        <f>+$E185*SUM($F$18:L$18)</f>
        <v>3678.4</v>
      </c>
      <c r="Q185" s="83">
        <f>+$E185*SUM($F$18:M$18)</f>
        <v>3678.4</v>
      </c>
      <c r="R185" s="83">
        <f>+$E185*SUM($F$18:N$18)</f>
        <v>3678.4</v>
      </c>
      <c r="S185" s="83">
        <f>+$E185*SUM($F$18:O$18)</f>
        <v>3678.4</v>
      </c>
      <c r="T185" s="83">
        <f>+$E185*SUM($F$18:P$18)</f>
        <v>3678.4</v>
      </c>
      <c r="U185" s="83">
        <f>+$E185*SUM($F$18:Q$18)</f>
        <v>3678.4</v>
      </c>
      <c r="V185" s="83">
        <f>+$E185*SUM($F$18:R$18)</f>
        <v>3678.4</v>
      </c>
      <c r="W185" s="83">
        <f>+$E185*SUM($F$18:S$18)</f>
        <v>3678.4</v>
      </c>
      <c r="X185" s="83">
        <f>+$E185*SUM($F$18:T$18)</f>
        <v>3678.4</v>
      </c>
      <c r="Y185" s="83">
        <f>+$E185*SUM($F$18:U$18)</f>
        <v>3678.4</v>
      </c>
    </row>
    <row r="186" spans="2:25" x14ac:dyDescent="0.2">
      <c r="B186" s="2" t="s">
        <v>58</v>
      </c>
      <c r="C186" s="79">
        <f>+'Inputs Field'!D142</f>
        <v>0.1</v>
      </c>
      <c r="D186" s="34">
        <f>+'Inputs Field'!F142</f>
        <v>2</v>
      </c>
      <c r="E186" s="34">
        <f>+C186*D186*'Assumptions &amp; Costs'!E$76*(1+'Assumptions &amp; Costs'!C$81)</f>
        <v>1.1495</v>
      </c>
      <c r="G186" s="83"/>
      <c r="J186" s="83">
        <f>+$E186*SUM($F$18:F$18)</f>
        <v>0</v>
      </c>
      <c r="K186" s="83">
        <f>+$E186*SUM($F$18:G$18)</f>
        <v>3678.4</v>
      </c>
      <c r="L186" s="83">
        <f>+$E186*SUM($F$18:H$18)</f>
        <v>3678.4</v>
      </c>
      <c r="M186" s="83">
        <f>+$E186*SUM($F$18:I$18)</f>
        <v>3678.4</v>
      </c>
      <c r="N186" s="83">
        <f>+$E186*SUM($F$18:J$18)</f>
        <v>3678.4</v>
      </c>
      <c r="O186" s="83">
        <f>+$E186*SUM($F$18:K$18)</f>
        <v>3678.4</v>
      </c>
      <c r="P186" s="83">
        <f>+$E186*SUM($F$18:L$18)</f>
        <v>3678.4</v>
      </c>
      <c r="Q186" s="83">
        <f>+$E186*SUM($F$18:M$18)</f>
        <v>3678.4</v>
      </c>
      <c r="R186" s="83">
        <f>+$E186*SUM($F$18:N$18)</f>
        <v>3678.4</v>
      </c>
      <c r="S186" s="83">
        <f>+$E186*SUM($F$18:O$18)</f>
        <v>3678.4</v>
      </c>
      <c r="T186" s="83">
        <f>+$E186*SUM($F$18:P$18)</f>
        <v>3678.4</v>
      </c>
      <c r="U186" s="83">
        <f>+$E186*SUM($F$18:Q$18)</f>
        <v>3678.4</v>
      </c>
      <c r="V186" s="83">
        <f>+$E186*SUM($F$18:R$18)</f>
        <v>3678.4</v>
      </c>
      <c r="W186" s="83">
        <f>+$E186*SUM($F$18:S$18)</f>
        <v>3678.4</v>
      </c>
      <c r="X186" s="83">
        <f>+$E186*SUM($F$18:T$18)</f>
        <v>3678.4</v>
      </c>
      <c r="Y186" s="83">
        <f>+$E186*SUM($F$18:U$18)</f>
        <v>3678.4</v>
      </c>
    </row>
    <row r="187" spans="2:25" x14ac:dyDescent="0.2">
      <c r="B187" s="2" t="s">
        <v>83</v>
      </c>
      <c r="C187" s="79">
        <f>+'Inputs Field'!D143</f>
        <v>1</v>
      </c>
      <c r="D187" s="34">
        <f>+'Inputs Field'!F143</f>
        <v>2</v>
      </c>
      <c r="E187" s="34">
        <f>+C187*D187*'Assumptions &amp; Costs'!E$76*(1+'Assumptions &amp; Costs'!C$81)</f>
        <v>11.494999999999999</v>
      </c>
      <c r="G187" s="83"/>
      <c r="J187" s="83">
        <f>+$E187*SUM($F$18:F$18)</f>
        <v>0</v>
      </c>
      <c r="K187" s="83">
        <f>+$E187*SUM($F$18:G$18)</f>
        <v>36784</v>
      </c>
      <c r="L187" s="83">
        <f>+$E187*SUM($F$18:H$18)</f>
        <v>36784</v>
      </c>
      <c r="M187" s="83">
        <f>+$E187*SUM($F$18:I$18)</f>
        <v>36784</v>
      </c>
      <c r="N187" s="83">
        <f>+$E187*SUM($F$18:J$18)</f>
        <v>36784</v>
      </c>
      <c r="O187" s="83">
        <f>+$E187*SUM($F$18:K$18)</f>
        <v>36784</v>
      </c>
      <c r="P187" s="83">
        <f>+$E187*SUM($F$18:L$18)</f>
        <v>36784</v>
      </c>
      <c r="Q187" s="83">
        <f>+$E187*SUM($F$18:M$18)</f>
        <v>36784</v>
      </c>
      <c r="R187" s="83">
        <f>+$E187*SUM($F$18:N$18)</f>
        <v>36784</v>
      </c>
      <c r="S187" s="83">
        <f>+$E187*SUM($F$18:O$18)</f>
        <v>36784</v>
      </c>
      <c r="T187" s="83">
        <f>+$E187*SUM($F$18:P$18)</f>
        <v>36784</v>
      </c>
      <c r="U187" s="83">
        <f>+$E187*SUM($F$18:Q$18)</f>
        <v>36784</v>
      </c>
      <c r="V187" s="83">
        <f>+$E187*SUM($F$18:R$18)</f>
        <v>36784</v>
      </c>
      <c r="W187" s="83">
        <f>+$E187*SUM($F$18:S$18)</f>
        <v>36784</v>
      </c>
      <c r="X187" s="83">
        <f>+$E187*SUM($F$18:T$18)</f>
        <v>36784</v>
      </c>
      <c r="Y187" s="83">
        <f>+$E187*SUM($F$18:U$18)</f>
        <v>36784</v>
      </c>
    </row>
    <row r="188" spans="2:25" x14ac:dyDescent="0.2">
      <c r="B188" s="2" t="s">
        <v>46</v>
      </c>
      <c r="C188" s="76">
        <f>+'Inputs Field'!D146</f>
        <v>0.1</v>
      </c>
      <c r="D188" s="34"/>
      <c r="E188" s="34">
        <f>SUMPRODUCT(C$177:C$187,D$177:D$187)*C188*'Assumptions &amp; Costs'!E78*(1+'Assumptions &amp; Costs'!C$81)</f>
        <v>8.5428749999999987</v>
      </c>
      <c r="G188" s="83"/>
      <c r="J188" s="83">
        <f>+$E188*SUM($F$18:F$18)</f>
        <v>0</v>
      </c>
      <c r="K188" s="83">
        <f>+$E188*SUM($F$18:G$18)</f>
        <v>27337.199999999997</v>
      </c>
      <c r="L188" s="83">
        <f>+$E188*SUM($F$18:H$18)</f>
        <v>27337.199999999997</v>
      </c>
      <c r="M188" s="83">
        <f>+$E188*SUM($F$18:I$18)</f>
        <v>27337.199999999997</v>
      </c>
      <c r="N188" s="83">
        <f>+$E188*SUM($F$18:J$18)</f>
        <v>27337.199999999997</v>
      </c>
      <c r="O188" s="83">
        <f>+$E188*SUM($F$18:K$18)</f>
        <v>27337.199999999997</v>
      </c>
      <c r="P188" s="83">
        <f>+$E188*SUM($F$18:L$18)</f>
        <v>27337.199999999997</v>
      </c>
      <c r="Q188" s="83">
        <f>+$E188*SUM($F$18:M$18)</f>
        <v>27337.199999999997</v>
      </c>
      <c r="R188" s="83">
        <f>+$E188*SUM($F$18:N$18)</f>
        <v>27337.199999999997</v>
      </c>
      <c r="S188" s="83">
        <f>+$E188*SUM($F$18:O$18)</f>
        <v>27337.199999999997</v>
      </c>
      <c r="T188" s="83">
        <f>+$E188*SUM($F$18:P$18)</f>
        <v>27337.199999999997</v>
      </c>
      <c r="U188" s="83">
        <f>+$E188*SUM($F$18:Q$18)</f>
        <v>27337.199999999997</v>
      </c>
      <c r="V188" s="83">
        <f>+$E188*SUM($F$18:R$18)</f>
        <v>27337.199999999997</v>
      </c>
      <c r="W188" s="83">
        <f>+$E188*SUM($F$18:S$18)</f>
        <v>27337.199999999997</v>
      </c>
      <c r="X188" s="83">
        <f>+$E188*SUM($F$18:T$18)</f>
        <v>27337.199999999997</v>
      </c>
      <c r="Y188" s="83">
        <f>+$E188*SUM($F$18:U$18)</f>
        <v>27337.199999999997</v>
      </c>
    </row>
    <row r="189" spans="2:25" x14ac:dyDescent="0.2">
      <c r="B189" s="2" t="s">
        <v>47</v>
      </c>
      <c r="C189" s="76">
        <f>+'Inputs Field'!D147</f>
        <v>0.05</v>
      </c>
      <c r="D189" s="34"/>
      <c r="E189" s="34">
        <f>SUMPRODUCT(C$177:C$187,D$177:D$187)*C189*'Assumptions &amp; Costs'!E79*(1+'Assumptions &amp; Costs'!C$81)</f>
        <v>16.428605769230767</v>
      </c>
      <c r="G189" s="83"/>
      <c r="J189" s="83">
        <f>+$E189*SUM($F$18:F$18)</f>
        <v>0</v>
      </c>
      <c r="K189" s="83">
        <f>+$E189*SUM($F$18:G$18)</f>
        <v>52571.538461538454</v>
      </c>
      <c r="L189" s="83">
        <f>+$E189*SUM($F$18:H$18)</f>
        <v>52571.538461538454</v>
      </c>
      <c r="M189" s="83">
        <f>+$E189*SUM($F$18:I$18)</f>
        <v>52571.538461538454</v>
      </c>
      <c r="N189" s="83">
        <f>+$E189*SUM($F$18:J$18)</f>
        <v>52571.538461538454</v>
      </c>
      <c r="O189" s="83">
        <f>+$E189*SUM($F$18:K$18)</f>
        <v>52571.538461538454</v>
      </c>
      <c r="P189" s="83">
        <f>+$E189*SUM($F$18:L$18)</f>
        <v>52571.538461538454</v>
      </c>
      <c r="Q189" s="83">
        <f>+$E189*SUM($F$18:M$18)</f>
        <v>52571.538461538454</v>
      </c>
      <c r="R189" s="83">
        <f>+$E189*SUM($F$18:N$18)</f>
        <v>52571.538461538454</v>
      </c>
      <c r="S189" s="83">
        <f>+$E189*SUM($F$18:O$18)</f>
        <v>52571.538461538454</v>
      </c>
      <c r="T189" s="83">
        <f>+$E189*SUM($F$18:P$18)</f>
        <v>52571.538461538454</v>
      </c>
      <c r="U189" s="83">
        <f>+$E189*SUM($F$18:Q$18)</f>
        <v>52571.538461538454</v>
      </c>
      <c r="V189" s="83">
        <f>+$E189*SUM($F$18:R$18)</f>
        <v>52571.538461538454</v>
      </c>
      <c r="W189" s="83">
        <f>+$E189*SUM($F$18:S$18)</f>
        <v>52571.538461538454</v>
      </c>
      <c r="X189" s="83">
        <f>+$E189*SUM($F$18:T$18)</f>
        <v>52571.538461538454</v>
      </c>
      <c r="Y189" s="83">
        <f>+$E189*SUM($F$18:U$18)</f>
        <v>52571.538461538454</v>
      </c>
    </row>
    <row r="190" spans="2:25" x14ac:dyDescent="0.2">
      <c r="B190" s="1" t="s">
        <v>1</v>
      </c>
      <c r="C190" s="34"/>
      <c r="D190" s="34"/>
      <c r="E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</row>
    <row r="191" spans="2:25" x14ac:dyDescent="0.2">
      <c r="B191" s="2" t="s">
        <v>239</v>
      </c>
      <c r="C191" s="78">
        <f>+'Inputs Field'!H134</f>
        <v>1</v>
      </c>
      <c r="D191" s="34">
        <f>+'Inputs Field'!F134</f>
        <v>4</v>
      </c>
      <c r="E191" s="34">
        <f>+C191*D191*'Assumptions &amp; Costs'!C65</f>
        <v>40</v>
      </c>
      <c r="I191" s="83"/>
      <c r="J191" s="83">
        <f>+$E191*SUM($F$18:F$18)</f>
        <v>0</v>
      </c>
      <c r="K191" s="83">
        <f>+$E191*SUM($F$18:G$18)</f>
        <v>128000</v>
      </c>
      <c r="L191" s="83">
        <f>+$E191*SUM($F$18:H$18)</f>
        <v>128000</v>
      </c>
      <c r="M191" s="83">
        <f>+$E191*SUM($F$18:I$18)</f>
        <v>128000</v>
      </c>
      <c r="N191" s="83">
        <f>+$E191*SUM($F$18:J$18)</f>
        <v>128000</v>
      </c>
      <c r="O191" s="83">
        <f>+$E191*SUM($F$18:K$18)</f>
        <v>128000</v>
      </c>
      <c r="P191" s="83">
        <f>+$E191*SUM($F$18:L$18)</f>
        <v>128000</v>
      </c>
      <c r="Q191" s="83">
        <f>+$E191*SUM($F$18:M$18)</f>
        <v>128000</v>
      </c>
      <c r="R191" s="83">
        <f>+$E191*SUM($F$18:N$18)</f>
        <v>128000</v>
      </c>
      <c r="S191" s="83">
        <f>+$E191*SUM($F$18:O$18)</f>
        <v>128000</v>
      </c>
      <c r="T191" s="83">
        <f>+$E191*SUM($F$18:P$18)</f>
        <v>128000</v>
      </c>
      <c r="U191" s="83">
        <f>+$E191*SUM($F$18:Q$18)</f>
        <v>128000</v>
      </c>
      <c r="V191" s="83">
        <f>+$E191*SUM($F$18:R$18)</f>
        <v>128000</v>
      </c>
      <c r="W191" s="83">
        <f>+$E191*SUM($F$18:S$18)</f>
        <v>128000</v>
      </c>
      <c r="X191" s="83">
        <f>+$E191*SUM($F$18:T$18)</f>
        <v>128000</v>
      </c>
      <c r="Y191" s="83">
        <f>+$E191*SUM($F$18:U$18)</f>
        <v>128000</v>
      </c>
    </row>
    <row r="192" spans="2:25" x14ac:dyDescent="0.2">
      <c r="B192" s="2" t="s">
        <v>231</v>
      </c>
      <c r="C192" s="78">
        <f>+'Inputs Field'!H135</f>
        <v>1</v>
      </c>
      <c r="D192" s="34">
        <f>+'Inputs Field'!F135</f>
        <v>4</v>
      </c>
      <c r="E192" s="34">
        <f>+C192*D192*'Assumptions &amp; Costs'!C65</f>
        <v>40</v>
      </c>
      <c r="I192" s="83"/>
      <c r="J192" s="83">
        <f>+$E192*SUM($F$18:F$18)</f>
        <v>0</v>
      </c>
      <c r="K192" s="83">
        <f>+$E192*SUM($F$18:G$18)</f>
        <v>128000</v>
      </c>
      <c r="L192" s="83">
        <f>+$E192*SUM($F$18:H$18)</f>
        <v>128000</v>
      </c>
      <c r="M192" s="83">
        <f>+$E192*SUM($F$18:I$18)</f>
        <v>128000</v>
      </c>
      <c r="N192" s="83">
        <f>+$E192*SUM($F$18:J$18)</f>
        <v>128000</v>
      </c>
      <c r="O192" s="83">
        <f>+$E192*SUM($F$18:K$18)</f>
        <v>128000</v>
      </c>
      <c r="P192" s="83">
        <f>+$E192*SUM($F$18:L$18)</f>
        <v>128000</v>
      </c>
      <c r="Q192" s="83">
        <f>+$E192*SUM($F$18:M$18)</f>
        <v>128000</v>
      </c>
      <c r="R192" s="83">
        <f>+$E192*SUM($F$18:N$18)</f>
        <v>128000</v>
      </c>
      <c r="S192" s="83">
        <f>+$E192*SUM($F$18:O$18)</f>
        <v>128000</v>
      </c>
      <c r="T192" s="83">
        <f>+$E192*SUM($F$18:P$18)</f>
        <v>128000</v>
      </c>
      <c r="U192" s="83">
        <f>+$E192*SUM($F$18:Q$18)</f>
        <v>128000</v>
      </c>
      <c r="V192" s="83">
        <f>+$E192*SUM($F$18:R$18)</f>
        <v>128000</v>
      </c>
      <c r="W192" s="83">
        <f>+$E192*SUM($F$18:S$18)</f>
        <v>128000</v>
      </c>
      <c r="X192" s="83">
        <f>+$E192*SUM($F$18:T$18)</f>
        <v>128000</v>
      </c>
      <c r="Y192" s="83">
        <f>+$E192*SUM($F$18:U$18)</f>
        <v>128000</v>
      </c>
    </row>
    <row r="193" spans="2:25" x14ac:dyDescent="0.2">
      <c r="B193" s="2" t="s">
        <v>232</v>
      </c>
      <c r="C193" s="78">
        <f>+'Inputs Field'!H136</f>
        <v>2.5</v>
      </c>
      <c r="D193" s="34">
        <f>+'Inputs Field'!F136</f>
        <v>2</v>
      </c>
      <c r="E193" s="34">
        <f>+C193*D193*'Inputs Field'!H43*('Assumptions &amp; Costs'!C68+'Assumptions &amp; Costs'!C72)/1000</f>
        <v>420.80078643749988</v>
      </c>
      <c r="I193" s="83"/>
      <c r="J193" s="83">
        <f>+$E193*SUM($F$18:F$18)</f>
        <v>0</v>
      </c>
      <c r="K193" s="83">
        <f>+$E193*SUM($F$18:G$18)</f>
        <v>1346562.5165999995</v>
      </c>
      <c r="L193" s="83">
        <f>+$E193*SUM($F$18:H$18)</f>
        <v>1346562.5165999995</v>
      </c>
      <c r="M193" s="83">
        <f>+$E193*SUM($F$18:I$18)</f>
        <v>1346562.5165999995</v>
      </c>
      <c r="N193" s="83">
        <f>+$E193*SUM($F$18:J$18)</f>
        <v>1346562.5165999995</v>
      </c>
      <c r="O193" s="83">
        <f>+$E193*SUM($F$18:K$18)</f>
        <v>1346562.5165999995</v>
      </c>
      <c r="P193" s="83">
        <f>+$E193*SUM($F$18:L$18)</f>
        <v>1346562.5165999995</v>
      </c>
      <c r="Q193" s="83">
        <f>+$E193*SUM($F$18:M$18)</f>
        <v>1346562.5165999995</v>
      </c>
      <c r="R193" s="83">
        <f>+$E193*SUM($F$18:N$18)</f>
        <v>1346562.5165999995</v>
      </c>
      <c r="S193" s="83">
        <f>+$E193*SUM($F$18:O$18)</f>
        <v>1346562.5165999995</v>
      </c>
      <c r="T193" s="83">
        <f>+$E193*SUM($F$18:P$18)</f>
        <v>1346562.5165999995</v>
      </c>
      <c r="U193" s="83">
        <f>+$E193*SUM($F$18:Q$18)</f>
        <v>1346562.5165999995</v>
      </c>
      <c r="V193" s="83">
        <f>+$E193*SUM($F$18:R$18)</f>
        <v>1346562.5165999995</v>
      </c>
      <c r="W193" s="83">
        <f>+$E193*SUM($F$18:S$18)</f>
        <v>1346562.5165999995</v>
      </c>
      <c r="X193" s="83">
        <f>+$E193*SUM($F$18:T$18)</f>
        <v>1346562.5165999995</v>
      </c>
      <c r="Y193" s="83">
        <f>+$E193*SUM($F$18:U$18)</f>
        <v>1346562.5165999995</v>
      </c>
    </row>
    <row r="194" spans="2:25" x14ac:dyDescent="0.2">
      <c r="B194" s="2" t="s">
        <v>240</v>
      </c>
      <c r="C194" s="78"/>
      <c r="D194" s="34"/>
      <c r="E194" s="34">
        <f>+'Inputs Field'!H139</f>
        <v>10</v>
      </c>
      <c r="I194" s="83"/>
      <c r="J194" s="83">
        <f>+$E194*SUM($F$18:F$18)</f>
        <v>0</v>
      </c>
      <c r="K194" s="83">
        <f>+$E194*SUM($F$18:G$18)</f>
        <v>32000</v>
      </c>
      <c r="L194" s="83">
        <f>+$E194*SUM($F$18:H$18)</f>
        <v>32000</v>
      </c>
      <c r="M194" s="83">
        <f>+$E194*SUM($F$18:I$18)</f>
        <v>32000</v>
      </c>
      <c r="N194" s="83">
        <f>+$E194*SUM($F$18:J$18)</f>
        <v>32000</v>
      </c>
      <c r="O194" s="83">
        <f>+$E194*SUM($F$18:K$18)</f>
        <v>32000</v>
      </c>
      <c r="P194" s="83">
        <f>+$E194*SUM($F$18:L$18)</f>
        <v>32000</v>
      </c>
      <c r="Q194" s="83">
        <f>+$E194*SUM($F$18:M$18)</f>
        <v>32000</v>
      </c>
      <c r="R194" s="83">
        <f>+$E194*SUM($F$18:N$18)</f>
        <v>32000</v>
      </c>
      <c r="S194" s="83">
        <f>+$E194*SUM($F$18:O$18)</f>
        <v>32000</v>
      </c>
      <c r="T194" s="83">
        <f>+$E194*SUM($F$18:P$18)</f>
        <v>32000</v>
      </c>
      <c r="U194" s="83">
        <f>+$E194*SUM($F$18:Q$18)</f>
        <v>32000</v>
      </c>
      <c r="V194" s="83">
        <f>+$E194*SUM($F$18:R$18)</f>
        <v>32000</v>
      </c>
      <c r="W194" s="83">
        <f>+$E194*SUM($F$18:S$18)</f>
        <v>32000</v>
      </c>
      <c r="X194" s="83">
        <f>+$E194*SUM($F$18:T$18)</f>
        <v>32000</v>
      </c>
      <c r="Y194" s="83">
        <f>+$E194*SUM($F$18:U$18)</f>
        <v>32000</v>
      </c>
    </row>
    <row r="195" spans="2:25" x14ac:dyDescent="0.2">
      <c r="B195" s="1" t="s">
        <v>101</v>
      </c>
      <c r="C195" s="34"/>
      <c r="D195" s="3" t="s">
        <v>60</v>
      </c>
      <c r="E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</row>
    <row r="196" spans="2:25" x14ac:dyDescent="0.2">
      <c r="B196" s="2" t="s">
        <v>242</v>
      </c>
      <c r="C196" s="34" t="s">
        <v>241</v>
      </c>
      <c r="D196" s="73">
        <f>+'Inputs Field'!K144</f>
        <v>0.5</v>
      </c>
      <c r="E196" s="34">
        <f>+D196*'Assumptions &amp; Costs'!D88</f>
        <v>5</v>
      </c>
      <c r="I196" s="83"/>
      <c r="J196" s="83">
        <f>+$E196*SUM($F$18:F$18)</f>
        <v>0</v>
      </c>
      <c r="K196" s="83">
        <f>+$E196*SUM($F$18:G$18)</f>
        <v>16000</v>
      </c>
      <c r="L196" s="83">
        <f>+$E196*SUM($F$18:H$18)</f>
        <v>16000</v>
      </c>
      <c r="M196" s="83">
        <f>+$E196*SUM($F$18:I$18)</f>
        <v>16000</v>
      </c>
      <c r="N196" s="83">
        <f>+$E196*SUM($F$18:J$18)</f>
        <v>16000</v>
      </c>
      <c r="O196" s="83">
        <f>+$E196*SUM($F$18:K$18)</f>
        <v>16000</v>
      </c>
      <c r="P196" s="83">
        <f>+$E196*SUM($F$18:L$18)</f>
        <v>16000</v>
      </c>
      <c r="Q196" s="83">
        <f>+$E196*SUM($F$18:M$18)</f>
        <v>16000</v>
      </c>
      <c r="R196" s="83">
        <f>+$E196*SUM($F$18:N$18)</f>
        <v>16000</v>
      </c>
      <c r="S196" s="83">
        <f>+$E196*SUM($F$18:O$18)</f>
        <v>16000</v>
      </c>
      <c r="T196" s="83">
        <f>+$E196*SUM($F$18:P$18)</f>
        <v>16000</v>
      </c>
      <c r="U196" s="83">
        <f>+$E196*SUM($F$18:Q$18)</f>
        <v>16000</v>
      </c>
      <c r="V196" s="83">
        <f>+$E196*SUM($F$18:R$18)</f>
        <v>16000</v>
      </c>
      <c r="W196" s="83">
        <f>+$E196*SUM($F$18:S$18)</f>
        <v>16000</v>
      </c>
      <c r="X196" s="83">
        <f>+$E196*SUM($F$18:T$18)</f>
        <v>16000</v>
      </c>
      <c r="Y196" s="83">
        <f>+$E196*SUM($F$18:U$18)</f>
        <v>16000</v>
      </c>
    </row>
    <row r="197" spans="2:25" x14ac:dyDescent="0.2">
      <c r="B197" s="2" t="s">
        <v>233</v>
      </c>
      <c r="C197" s="76">
        <f>+'Inputs Field'!H145</f>
        <v>0.05</v>
      </c>
      <c r="D197" s="34"/>
      <c r="E197" s="34">
        <f>SUM(E177:E187)*C197</f>
        <v>3.231662500000001</v>
      </c>
      <c r="I197" s="83"/>
      <c r="J197" s="83">
        <f>+$E197*SUM($F$18:F$18)</f>
        <v>0</v>
      </c>
      <c r="K197" s="83">
        <f>+$E197*SUM($F$18:G$18)</f>
        <v>10341.320000000003</v>
      </c>
      <c r="L197" s="83">
        <f>+$E197*SUM($F$18:H$18)</f>
        <v>10341.320000000003</v>
      </c>
      <c r="M197" s="83">
        <f>+$E197*SUM($F$18:I$18)</f>
        <v>10341.320000000003</v>
      </c>
      <c r="N197" s="83">
        <f>+$E197*SUM($F$18:J$18)</f>
        <v>10341.320000000003</v>
      </c>
      <c r="O197" s="83">
        <f>+$E197*SUM($F$18:K$18)</f>
        <v>10341.320000000003</v>
      </c>
      <c r="P197" s="83">
        <f>+$E197*SUM($F$18:L$18)</f>
        <v>10341.320000000003</v>
      </c>
      <c r="Q197" s="83">
        <f>+$E197*SUM($F$18:M$18)</f>
        <v>10341.320000000003</v>
      </c>
      <c r="R197" s="83">
        <f>+$E197*SUM($F$18:N$18)</f>
        <v>10341.320000000003</v>
      </c>
      <c r="S197" s="83">
        <f>+$E197*SUM($F$18:O$18)</f>
        <v>10341.320000000003</v>
      </c>
      <c r="T197" s="83">
        <f>+$E197*SUM($F$18:P$18)</f>
        <v>10341.320000000003</v>
      </c>
      <c r="U197" s="83">
        <f>+$E197*SUM($F$18:Q$18)</f>
        <v>10341.320000000003</v>
      </c>
      <c r="V197" s="83">
        <f>+$E197*SUM($F$18:R$18)</f>
        <v>10341.320000000003</v>
      </c>
      <c r="W197" s="83">
        <f>+$E197*SUM($F$18:S$18)</f>
        <v>10341.320000000003</v>
      </c>
      <c r="X197" s="83">
        <f>+$E197*SUM($F$18:T$18)</f>
        <v>10341.320000000003</v>
      </c>
      <c r="Y197" s="83">
        <f>+$E197*SUM($F$18:U$18)</f>
        <v>10341.320000000003</v>
      </c>
    </row>
    <row r="198" spans="2:25" x14ac:dyDescent="0.2">
      <c r="B198" s="1" t="s">
        <v>86</v>
      </c>
      <c r="C198" s="83"/>
      <c r="D198" s="83"/>
      <c r="E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</row>
    <row r="199" spans="2:25" x14ac:dyDescent="0.2">
      <c r="B199" s="2" t="s">
        <v>234</v>
      </c>
      <c r="C199" s="83"/>
      <c r="D199" s="83"/>
      <c r="E199" s="34">
        <f>SUM(E177:E189)</f>
        <v>89.604730769230784</v>
      </c>
      <c r="G199" s="83"/>
      <c r="I199" s="83"/>
      <c r="J199" s="77">
        <f>SUM(J177:J189)</f>
        <v>0</v>
      </c>
      <c r="K199" s="77">
        <f t="shared" ref="K199:Y199" si="128">SUM(K177:K189)</f>
        <v>286735.13846153842</v>
      </c>
      <c r="L199" s="77">
        <f t="shared" si="128"/>
        <v>286735.13846153842</v>
      </c>
      <c r="M199" s="77">
        <f t="shared" si="128"/>
        <v>286735.13846153842</v>
      </c>
      <c r="N199" s="77">
        <f t="shared" si="128"/>
        <v>286735.13846153842</v>
      </c>
      <c r="O199" s="77">
        <f t="shared" si="128"/>
        <v>286735.13846153842</v>
      </c>
      <c r="P199" s="77">
        <f t="shared" si="128"/>
        <v>286735.13846153842</v>
      </c>
      <c r="Q199" s="77">
        <f t="shared" si="128"/>
        <v>286735.13846153842</v>
      </c>
      <c r="R199" s="77">
        <f t="shared" si="128"/>
        <v>286735.13846153842</v>
      </c>
      <c r="S199" s="77">
        <f t="shared" si="128"/>
        <v>286735.13846153842</v>
      </c>
      <c r="T199" s="77">
        <f t="shared" si="128"/>
        <v>286735.13846153842</v>
      </c>
      <c r="U199" s="77">
        <f t="shared" si="128"/>
        <v>286735.13846153842</v>
      </c>
      <c r="V199" s="77">
        <f t="shared" si="128"/>
        <v>286735.13846153842</v>
      </c>
      <c r="W199" s="77">
        <f t="shared" si="128"/>
        <v>286735.13846153842</v>
      </c>
      <c r="X199" s="77">
        <f t="shared" si="128"/>
        <v>286735.13846153842</v>
      </c>
      <c r="Y199" s="77">
        <f t="shared" si="128"/>
        <v>286735.13846153842</v>
      </c>
    </row>
    <row r="200" spans="2:25" x14ac:dyDescent="0.2">
      <c r="B200" s="2" t="s">
        <v>1</v>
      </c>
      <c r="C200" s="83"/>
      <c r="D200" s="83"/>
      <c r="E200" s="34">
        <f>SUM(E191:E194)</f>
        <v>510.80078643749988</v>
      </c>
      <c r="G200" s="83"/>
      <c r="I200" s="83"/>
      <c r="J200" s="77">
        <f>SUM(J191:J194)</f>
        <v>0</v>
      </c>
      <c r="K200" s="77">
        <f t="shared" ref="K200:Y200" si="129">SUM(K191:K194)</f>
        <v>1634562.5165999995</v>
      </c>
      <c r="L200" s="77">
        <f t="shared" si="129"/>
        <v>1634562.5165999995</v>
      </c>
      <c r="M200" s="77">
        <f t="shared" si="129"/>
        <v>1634562.5165999995</v>
      </c>
      <c r="N200" s="77">
        <f t="shared" si="129"/>
        <v>1634562.5165999995</v>
      </c>
      <c r="O200" s="77">
        <f t="shared" si="129"/>
        <v>1634562.5165999995</v>
      </c>
      <c r="P200" s="77">
        <f t="shared" si="129"/>
        <v>1634562.5165999995</v>
      </c>
      <c r="Q200" s="77">
        <f t="shared" si="129"/>
        <v>1634562.5165999995</v>
      </c>
      <c r="R200" s="77">
        <f t="shared" si="129"/>
        <v>1634562.5165999995</v>
      </c>
      <c r="S200" s="77">
        <f t="shared" si="129"/>
        <v>1634562.5165999995</v>
      </c>
      <c r="T200" s="77">
        <f t="shared" si="129"/>
        <v>1634562.5165999995</v>
      </c>
      <c r="U200" s="77">
        <f t="shared" si="129"/>
        <v>1634562.5165999995</v>
      </c>
      <c r="V200" s="77">
        <f t="shared" si="129"/>
        <v>1634562.5165999995</v>
      </c>
      <c r="W200" s="77">
        <f t="shared" si="129"/>
        <v>1634562.5165999995</v>
      </c>
      <c r="X200" s="77">
        <f t="shared" si="129"/>
        <v>1634562.5165999995</v>
      </c>
      <c r="Y200" s="77">
        <f t="shared" si="129"/>
        <v>1634562.5165999995</v>
      </c>
    </row>
    <row r="201" spans="2:25" x14ac:dyDescent="0.2">
      <c r="B201" s="2" t="s">
        <v>101</v>
      </c>
      <c r="C201" s="83"/>
      <c r="D201" s="83"/>
      <c r="E201" s="34">
        <f>SUM(E196:E197)</f>
        <v>8.2316625000000005</v>
      </c>
      <c r="G201" s="83"/>
      <c r="I201" s="83"/>
      <c r="J201" s="77">
        <f>SUM(J196:J197)</f>
        <v>0</v>
      </c>
      <c r="K201" s="77">
        <f t="shared" ref="K201:Y201" si="130">SUM(K196:K197)</f>
        <v>26341.320000000003</v>
      </c>
      <c r="L201" s="77">
        <f t="shared" si="130"/>
        <v>26341.320000000003</v>
      </c>
      <c r="M201" s="77">
        <f t="shared" si="130"/>
        <v>26341.320000000003</v>
      </c>
      <c r="N201" s="77">
        <f t="shared" si="130"/>
        <v>26341.320000000003</v>
      </c>
      <c r="O201" s="77">
        <f t="shared" si="130"/>
        <v>26341.320000000003</v>
      </c>
      <c r="P201" s="77">
        <f t="shared" si="130"/>
        <v>26341.320000000003</v>
      </c>
      <c r="Q201" s="77">
        <f t="shared" si="130"/>
        <v>26341.320000000003</v>
      </c>
      <c r="R201" s="77">
        <f t="shared" si="130"/>
        <v>26341.320000000003</v>
      </c>
      <c r="S201" s="77">
        <f t="shared" si="130"/>
        <v>26341.320000000003</v>
      </c>
      <c r="T201" s="77">
        <f t="shared" si="130"/>
        <v>26341.320000000003</v>
      </c>
      <c r="U201" s="77">
        <f t="shared" si="130"/>
        <v>26341.320000000003</v>
      </c>
      <c r="V201" s="77">
        <f t="shared" si="130"/>
        <v>26341.320000000003</v>
      </c>
      <c r="W201" s="77">
        <f t="shared" si="130"/>
        <v>26341.320000000003</v>
      </c>
      <c r="X201" s="77">
        <f t="shared" si="130"/>
        <v>26341.320000000003</v>
      </c>
      <c r="Y201" s="77">
        <f t="shared" si="130"/>
        <v>26341.320000000003</v>
      </c>
    </row>
    <row r="202" spans="2:25" x14ac:dyDescent="0.2">
      <c r="B202" s="1" t="s">
        <v>114</v>
      </c>
      <c r="C202" s="83"/>
      <c r="D202" s="83"/>
      <c r="E202" s="34">
        <f>SUM(E199:E201)</f>
        <v>608.63717970673065</v>
      </c>
      <c r="I202" s="83"/>
      <c r="J202" s="77">
        <f>SUM(J199:J201)</f>
        <v>0</v>
      </c>
      <c r="K202" s="77">
        <f t="shared" ref="K202:Y202" si="131">SUM(K199:K201)</f>
        <v>1947638.9750615379</v>
      </c>
      <c r="L202" s="77">
        <f t="shared" si="131"/>
        <v>1947638.9750615379</v>
      </c>
      <c r="M202" s="77">
        <f t="shared" si="131"/>
        <v>1947638.9750615379</v>
      </c>
      <c r="N202" s="77">
        <f t="shared" si="131"/>
        <v>1947638.9750615379</v>
      </c>
      <c r="O202" s="77">
        <f t="shared" si="131"/>
        <v>1947638.9750615379</v>
      </c>
      <c r="P202" s="77">
        <f t="shared" si="131"/>
        <v>1947638.9750615379</v>
      </c>
      <c r="Q202" s="77">
        <f t="shared" si="131"/>
        <v>1947638.9750615379</v>
      </c>
      <c r="R202" s="77">
        <f t="shared" si="131"/>
        <v>1947638.9750615379</v>
      </c>
      <c r="S202" s="77">
        <f t="shared" si="131"/>
        <v>1947638.9750615379</v>
      </c>
      <c r="T202" s="77">
        <f t="shared" si="131"/>
        <v>1947638.9750615379</v>
      </c>
      <c r="U202" s="77">
        <f t="shared" si="131"/>
        <v>1947638.9750615379</v>
      </c>
      <c r="V202" s="77">
        <f t="shared" si="131"/>
        <v>1947638.9750615379</v>
      </c>
      <c r="W202" s="77">
        <f t="shared" si="131"/>
        <v>1947638.9750615379</v>
      </c>
      <c r="X202" s="77">
        <f t="shared" si="131"/>
        <v>1947638.9750615379</v>
      </c>
      <c r="Y202" s="77">
        <f t="shared" si="131"/>
        <v>1947638.9750615379</v>
      </c>
    </row>
    <row r="203" spans="2:25" x14ac:dyDescent="0.2">
      <c r="C203" s="83"/>
      <c r="D203" s="83"/>
      <c r="E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</row>
    <row r="204" spans="2:25" x14ac:dyDescent="0.2">
      <c r="B204" s="1" t="s">
        <v>402</v>
      </c>
      <c r="C204" s="83"/>
      <c r="D204" s="83"/>
      <c r="E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</row>
    <row r="205" spans="2:25" x14ac:dyDescent="0.2">
      <c r="B205" s="2" t="s">
        <v>234</v>
      </c>
      <c r="C205" s="83"/>
      <c r="D205" s="83"/>
      <c r="E205" s="83"/>
      <c r="F205" s="83">
        <f>+F199+F170+F144+F119+F87</f>
        <v>0</v>
      </c>
      <c r="G205" s="123">
        <f t="shared" ref="G205:Y205" si="132">+G199+G170+G144+G119+G87</f>
        <v>3228117.5384615385</v>
      </c>
      <c r="H205" s="123">
        <f t="shared" si="132"/>
        <v>1435219.076923077</v>
      </c>
      <c r="I205" s="123">
        <f t="shared" si="132"/>
        <v>497561.4769230769</v>
      </c>
      <c r="J205" s="123">
        <f t="shared" si="132"/>
        <v>392161.16923076916</v>
      </c>
      <c r="K205" s="123">
        <f t="shared" si="132"/>
        <v>286735.13846153842</v>
      </c>
      <c r="L205" s="123">
        <f t="shared" si="132"/>
        <v>286735.13846153842</v>
      </c>
      <c r="M205" s="123">
        <f t="shared" si="132"/>
        <v>286735.13846153842</v>
      </c>
      <c r="N205" s="123">
        <f t="shared" si="132"/>
        <v>286735.13846153842</v>
      </c>
      <c r="O205" s="123">
        <f t="shared" si="132"/>
        <v>286735.13846153842</v>
      </c>
      <c r="P205" s="123">
        <f t="shared" si="132"/>
        <v>286735.13846153842</v>
      </c>
      <c r="Q205" s="123">
        <f t="shared" si="132"/>
        <v>286735.13846153842</v>
      </c>
      <c r="R205" s="123">
        <f t="shared" si="132"/>
        <v>286735.13846153842</v>
      </c>
      <c r="S205" s="123">
        <f t="shared" si="132"/>
        <v>286735.13846153842</v>
      </c>
      <c r="T205" s="123">
        <f t="shared" si="132"/>
        <v>286735.13846153842</v>
      </c>
      <c r="U205" s="123">
        <f t="shared" si="132"/>
        <v>286735.13846153842</v>
      </c>
      <c r="V205" s="123">
        <f t="shared" si="132"/>
        <v>286735.13846153842</v>
      </c>
      <c r="W205" s="123">
        <f t="shared" si="132"/>
        <v>286735.13846153842</v>
      </c>
      <c r="X205" s="123">
        <f t="shared" si="132"/>
        <v>286735.13846153842</v>
      </c>
      <c r="Y205" s="123">
        <f t="shared" si="132"/>
        <v>286735.13846153842</v>
      </c>
    </row>
    <row r="206" spans="2:25" x14ac:dyDescent="0.2">
      <c r="B206" s="2" t="s">
        <v>1</v>
      </c>
      <c r="C206" s="83"/>
      <c r="D206" s="83"/>
      <c r="E206" s="83"/>
      <c r="F206" s="83">
        <f>+F200+F171+F145+F120+F88</f>
        <v>0</v>
      </c>
      <c r="G206" s="123">
        <f t="shared" ref="G206:Y206" si="133">+G200+G171+G145+G120+G88</f>
        <v>2785160.9899781663</v>
      </c>
      <c r="H206" s="123">
        <f t="shared" si="133"/>
        <v>1164274.7735901386</v>
      </c>
      <c r="I206" s="123">
        <f t="shared" si="133"/>
        <v>1506562.5165999995</v>
      </c>
      <c r="J206" s="123">
        <f t="shared" si="133"/>
        <v>1114484.5665999998</v>
      </c>
      <c r="K206" s="123">
        <f t="shared" si="133"/>
        <v>1634562.5165999995</v>
      </c>
      <c r="L206" s="123">
        <f t="shared" si="133"/>
        <v>1634562.5165999995</v>
      </c>
      <c r="M206" s="123">
        <f t="shared" si="133"/>
        <v>1634562.5165999995</v>
      </c>
      <c r="N206" s="123">
        <f t="shared" si="133"/>
        <v>1634562.5165999995</v>
      </c>
      <c r="O206" s="123">
        <f t="shared" si="133"/>
        <v>1634562.5165999995</v>
      </c>
      <c r="P206" s="123">
        <f t="shared" si="133"/>
        <v>1634562.5165999995</v>
      </c>
      <c r="Q206" s="123">
        <f t="shared" si="133"/>
        <v>1634562.5165999995</v>
      </c>
      <c r="R206" s="123">
        <f t="shared" si="133"/>
        <v>1634562.5165999995</v>
      </c>
      <c r="S206" s="123">
        <f t="shared" si="133"/>
        <v>1634562.5165999995</v>
      </c>
      <c r="T206" s="123">
        <f t="shared" si="133"/>
        <v>1634562.5165999995</v>
      </c>
      <c r="U206" s="123">
        <f t="shared" si="133"/>
        <v>1634562.5165999995</v>
      </c>
      <c r="V206" s="123">
        <f t="shared" si="133"/>
        <v>1634562.5165999995</v>
      </c>
      <c r="W206" s="123">
        <f t="shared" si="133"/>
        <v>1634562.5165999995</v>
      </c>
      <c r="X206" s="123">
        <f t="shared" si="133"/>
        <v>1634562.5165999995</v>
      </c>
      <c r="Y206" s="123">
        <f t="shared" si="133"/>
        <v>1634562.5165999995</v>
      </c>
    </row>
    <row r="207" spans="2:25" x14ac:dyDescent="0.2">
      <c r="B207" s="2" t="s">
        <v>101</v>
      </c>
      <c r="C207" s="83"/>
      <c r="D207" s="83"/>
      <c r="E207" s="83"/>
      <c r="F207" s="83">
        <f>+F201+F172+F146+F121+F89</f>
        <v>0</v>
      </c>
      <c r="G207" s="123">
        <f t="shared" ref="G207:Y207" si="134">+G201+G172+G146+G121+G89</f>
        <v>4305405.8769230768</v>
      </c>
      <c r="H207" s="123">
        <f t="shared" si="134"/>
        <v>163380.56</v>
      </c>
      <c r="I207" s="123">
        <f t="shared" si="134"/>
        <v>33840.240000000005</v>
      </c>
      <c r="J207" s="123">
        <f t="shared" si="134"/>
        <v>30036.440000000002</v>
      </c>
      <c r="K207" s="123">
        <f t="shared" si="134"/>
        <v>26341.320000000003</v>
      </c>
      <c r="L207" s="123">
        <f t="shared" si="134"/>
        <v>26341.320000000003</v>
      </c>
      <c r="M207" s="123">
        <f t="shared" si="134"/>
        <v>26341.320000000003</v>
      </c>
      <c r="N207" s="123">
        <f t="shared" si="134"/>
        <v>26341.320000000003</v>
      </c>
      <c r="O207" s="123">
        <f t="shared" si="134"/>
        <v>26341.320000000003</v>
      </c>
      <c r="P207" s="123">
        <f t="shared" si="134"/>
        <v>26341.320000000003</v>
      </c>
      <c r="Q207" s="123">
        <f t="shared" si="134"/>
        <v>26341.320000000003</v>
      </c>
      <c r="R207" s="123">
        <f t="shared" si="134"/>
        <v>26341.320000000003</v>
      </c>
      <c r="S207" s="123">
        <f t="shared" si="134"/>
        <v>26341.320000000003</v>
      </c>
      <c r="T207" s="123">
        <f t="shared" si="134"/>
        <v>26341.320000000003</v>
      </c>
      <c r="U207" s="123">
        <f t="shared" si="134"/>
        <v>26341.320000000003</v>
      </c>
      <c r="V207" s="123">
        <f t="shared" si="134"/>
        <v>26341.320000000003</v>
      </c>
      <c r="W207" s="123">
        <f t="shared" si="134"/>
        <v>26341.320000000003</v>
      </c>
      <c r="X207" s="123">
        <f t="shared" si="134"/>
        <v>26341.320000000003</v>
      </c>
      <c r="Y207" s="123">
        <f t="shared" si="134"/>
        <v>26341.320000000003</v>
      </c>
    </row>
    <row r="208" spans="2:25" x14ac:dyDescent="0.2">
      <c r="B208" s="1" t="s">
        <v>114</v>
      </c>
      <c r="C208" s="83"/>
      <c r="D208" s="83"/>
      <c r="E208" s="83"/>
      <c r="F208" s="83">
        <f>SUM(F205:F207)</f>
        <v>0</v>
      </c>
      <c r="G208" s="123">
        <f t="shared" ref="G208:Y208" si="135">SUM(G205:G207)</f>
        <v>10318684.405362781</v>
      </c>
      <c r="H208" s="123">
        <f t="shared" si="135"/>
        <v>2762874.4105132157</v>
      </c>
      <c r="I208" s="123">
        <f t="shared" si="135"/>
        <v>2037964.2335230764</v>
      </c>
      <c r="J208" s="123">
        <f t="shared" si="135"/>
        <v>1536682.1758307689</v>
      </c>
      <c r="K208" s="123">
        <f t="shared" si="135"/>
        <v>1947638.9750615379</v>
      </c>
      <c r="L208" s="123">
        <f t="shared" si="135"/>
        <v>1947638.9750615379</v>
      </c>
      <c r="M208" s="123">
        <f t="shared" si="135"/>
        <v>1947638.9750615379</v>
      </c>
      <c r="N208" s="123">
        <f t="shared" si="135"/>
        <v>1947638.9750615379</v>
      </c>
      <c r="O208" s="123">
        <f t="shared" si="135"/>
        <v>1947638.9750615379</v>
      </c>
      <c r="P208" s="123">
        <f t="shared" si="135"/>
        <v>1947638.9750615379</v>
      </c>
      <c r="Q208" s="123">
        <f t="shared" si="135"/>
        <v>1947638.9750615379</v>
      </c>
      <c r="R208" s="123">
        <f t="shared" si="135"/>
        <v>1947638.9750615379</v>
      </c>
      <c r="S208" s="123">
        <f t="shared" si="135"/>
        <v>1947638.9750615379</v>
      </c>
      <c r="T208" s="123">
        <f t="shared" si="135"/>
        <v>1947638.9750615379</v>
      </c>
      <c r="U208" s="123">
        <f t="shared" si="135"/>
        <v>1947638.9750615379</v>
      </c>
      <c r="V208" s="123">
        <f t="shared" si="135"/>
        <v>1947638.9750615379</v>
      </c>
      <c r="W208" s="123">
        <f t="shared" si="135"/>
        <v>1947638.9750615379</v>
      </c>
      <c r="X208" s="123">
        <f t="shared" si="135"/>
        <v>1947638.9750615379</v>
      </c>
      <c r="Y208" s="123">
        <f t="shared" si="135"/>
        <v>1947638.9750615379</v>
      </c>
    </row>
    <row r="209" spans="2:25" x14ac:dyDescent="0.2">
      <c r="B209" s="1"/>
      <c r="C209" s="83"/>
      <c r="D209" s="83"/>
      <c r="E209" s="83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</row>
    <row r="210" spans="2:25" x14ac:dyDescent="0.2">
      <c r="C210" s="2" t="s">
        <v>398</v>
      </c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pans="2:25" x14ac:dyDescent="0.2">
      <c r="B211" s="1" t="s">
        <v>383</v>
      </c>
      <c r="C211" s="2">
        <v>1</v>
      </c>
      <c r="F211" s="83">
        <f t="shared" ref="F211:Y211" si="136">(+F173+F147+F122+F90)*$C211</f>
        <v>0</v>
      </c>
      <c r="G211" s="123">
        <f t="shared" si="136"/>
        <v>10318684.405362781</v>
      </c>
      <c r="H211" s="123">
        <f t="shared" si="136"/>
        <v>2762874.4105132157</v>
      </c>
      <c r="I211" s="123">
        <f t="shared" si="136"/>
        <v>2037964.2335230764</v>
      </c>
      <c r="J211" s="123">
        <f t="shared" si="136"/>
        <v>1536682.1758307689</v>
      </c>
      <c r="K211" s="123">
        <f t="shared" si="136"/>
        <v>0</v>
      </c>
      <c r="L211" s="123">
        <f t="shared" si="136"/>
        <v>0</v>
      </c>
      <c r="M211" s="123">
        <f t="shared" si="136"/>
        <v>0</v>
      </c>
      <c r="N211" s="123">
        <f t="shared" si="136"/>
        <v>0</v>
      </c>
      <c r="O211" s="123">
        <f t="shared" si="136"/>
        <v>0</v>
      </c>
      <c r="P211" s="123">
        <f t="shared" si="136"/>
        <v>0</v>
      </c>
      <c r="Q211" s="123">
        <f t="shared" si="136"/>
        <v>0</v>
      </c>
      <c r="R211" s="123">
        <f t="shared" si="136"/>
        <v>0</v>
      </c>
      <c r="S211" s="123">
        <f t="shared" si="136"/>
        <v>0</v>
      </c>
      <c r="T211" s="123">
        <f t="shared" si="136"/>
        <v>0</v>
      </c>
      <c r="U211" s="123">
        <f t="shared" si="136"/>
        <v>0</v>
      </c>
      <c r="V211" s="123">
        <f t="shared" si="136"/>
        <v>0</v>
      </c>
      <c r="W211" s="123">
        <f t="shared" si="136"/>
        <v>0</v>
      </c>
      <c r="X211" s="123">
        <f t="shared" si="136"/>
        <v>0</v>
      </c>
      <c r="Y211" s="123">
        <f t="shared" si="136"/>
        <v>0</v>
      </c>
    </row>
    <row r="212" spans="2:25" x14ac:dyDescent="0.2">
      <c r="B212" s="1" t="s">
        <v>197</v>
      </c>
      <c r="F212" s="83">
        <f>+F202</f>
        <v>0</v>
      </c>
      <c r="G212" s="123">
        <f t="shared" ref="G212:Y212" si="137">+G202</f>
        <v>0</v>
      </c>
      <c r="H212" s="123">
        <f t="shared" si="137"/>
        <v>0</v>
      </c>
      <c r="I212" s="123">
        <f t="shared" si="137"/>
        <v>0</v>
      </c>
      <c r="J212" s="123">
        <f t="shared" si="137"/>
        <v>0</v>
      </c>
      <c r="K212" s="123">
        <f t="shared" si="137"/>
        <v>1947638.9750615379</v>
      </c>
      <c r="L212" s="123">
        <f t="shared" si="137"/>
        <v>1947638.9750615379</v>
      </c>
      <c r="M212" s="123">
        <f t="shared" si="137"/>
        <v>1947638.9750615379</v>
      </c>
      <c r="N212" s="123">
        <f t="shared" si="137"/>
        <v>1947638.9750615379</v>
      </c>
      <c r="O212" s="123">
        <f t="shared" si="137"/>
        <v>1947638.9750615379</v>
      </c>
      <c r="P212" s="123">
        <f t="shared" si="137"/>
        <v>1947638.9750615379</v>
      </c>
      <c r="Q212" s="123">
        <f t="shared" si="137"/>
        <v>1947638.9750615379</v>
      </c>
      <c r="R212" s="123">
        <f t="shared" si="137"/>
        <v>1947638.9750615379</v>
      </c>
      <c r="S212" s="123">
        <f t="shared" si="137"/>
        <v>1947638.9750615379</v>
      </c>
      <c r="T212" s="123">
        <f t="shared" si="137"/>
        <v>1947638.9750615379</v>
      </c>
      <c r="U212" s="123">
        <f t="shared" si="137"/>
        <v>1947638.9750615379</v>
      </c>
      <c r="V212" s="123">
        <f t="shared" si="137"/>
        <v>1947638.9750615379</v>
      </c>
      <c r="W212" s="123">
        <f t="shared" si="137"/>
        <v>1947638.9750615379</v>
      </c>
      <c r="X212" s="123">
        <f t="shared" si="137"/>
        <v>1947638.9750615379</v>
      </c>
      <c r="Y212" s="123">
        <f t="shared" si="137"/>
        <v>1947638.9750615379</v>
      </c>
    </row>
    <row r="213" spans="2:25" x14ac:dyDescent="0.2">
      <c r="B213" s="1" t="s">
        <v>198</v>
      </c>
      <c r="F213" s="83">
        <f t="shared" ref="F213:Y213" si="138">+F44</f>
        <v>0</v>
      </c>
      <c r="G213" s="83">
        <f t="shared" si="138"/>
        <v>0</v>
      </c>
      <c r="H213" s="83">
        <f t="shared" si="138"/>
        <v>0</v>
      </c>
      <c r="I213" s="83">
        <f t="shared" si="138"/>
        <v>0</v>
      </c>
      <c r="J213" s="83">
        <f t="shared" si="138"/>
        <v>530794.66666666674</v>
      </c>
      <c r="K213" s="83">
        <f t="shared" si="138"/>
        <v>865408</v>
      </c>
      <c r="L213" s="83">
        <f t="shared" si="138"/>
        <v>1197792</v>
      </c>
      <c r="M213" s="83">
        <f t="shared" si="138"/>
        <v>1422000</v>
      </c>
      <c r="N213" s="83">
        <f t="shared" si="138"/>
        <v>1583176</v>
      </c>
      <c r="O213" s="83">
        <f t="shared" si="138"/>
        <v>1729722</v>
      </c>
      <c r="P213" s="83">
        <f t="shared" si="138"/>
        <v>1642360</v>
      </c>
      <c r="Q213" s="83">
        <f t="shared" si="138"/>
        <v>1637065.3333333335</v>
      </c>
      <c r="R213" s="83">
        <f t="shared" si="138"/>
        <v>1610592</v>
      </c>
      <c r="S213" s="83">
        <f t="shared" si="138"/>
        <v>1631770.6666666667</v>
      </c>
      <c r="T213" s="83">
        <f t="shared" si="138"/>
        <v>1670157</v>
      </c>
      <c r="U213" s="83">
        <f t="shared" si="138"/>
        <v>1685340.2352941176</v>
      </c>
      <c r="V213" s="83">
        <f t="shared" si="138"/>
        <v>1698836.4444444445</v>
      </c>
      <c r="W213" s="83">
        <f t="shared" si="138"/>
        <v>1744352</v>
      </c>
      <c r="X213" s="83">
        <f t="shared" si="138"/>
        <v>1737664</v>
      </c>
      <c r="Y213" s="83">
        <f t="shared" si="138"/>
        <v>1737664</v>
      </c>
    </row>
    <row r="215" spans="2:25" s="129" customFormat="1" x14ac:dyDescent="0.2"/>
    <row r="216" spans="2:25" s="129" customFormat="1" x14ac:dyDescent="0.2"/>
    <row r="217" spans="2:25" s="129" customFormat="1" x14ac:dyDescent="0.2">
      <c r="B217" s="129" t="s">
        <v>554</v>
      </c>
      <c r="G217" s="123">
        <f>SUM(G50:G64)+SUM(G94:G104)+SUM(G126:G133)+SUM(G151:G159)</f>
        <v>2309533.6</v>
      </c>
      <c r="H217" s="123">
        <f t="shared" ref="H217:Y217" si="139">SUM(H50:H64)+SUM(H94:H104)+SUM(H126:H133)+SUM(H151:H159)</f>
        <v>1027611.2000000001</v>
      </c>
      <c r="I217" s="123">
        <f t="shared" si="139"/>
        <v>356804.8</v>
      </c>
      <c r="J217" s="123">
        <f t="shared" si="139"/>
        <v>280728.8</v>
      </c>
      <c r="K217" s="123">
        <f t="shared" si="139"/>
        <v>0</v>
      </c>
      <c r="L217" s="123">
        <f t="shared" si="139"/>
        <v>0</v>
      </c>
      <c r="M217" s="123">
        <f t="shared" si="139"/>
        <v>0</v>
      </c>
      <c r="N217" s="123">
        <f t="shared" si="139"/>
        <v>0</v>
      </c>
      <c r="O217" s="123">
        <f t="shared" si="139"/>
        <v>0</v>
      </c>
      <c r="P217" s="123">
        <f t="shared" si="139"/>
        <v>0</v>
      </c>
      <c r="Q217" s="123">
        <f t="shared" si="139"/>
        <v>0</v>
      </c>
      <c r="R217" s="123">
        <f t="shared" si="139"/>
        <v>0</v>
      </c>
      <c r="S217" s="123">
        <f t="shared" si="139"/>
        <v>0</v>
      </c>
      <c r="T217" s="123">
        <f t="shared" si="139"/>
        <v>0</v>
      </c>
      <c r="U217" s="123">
        <f t="shared" si="139"/>
        <v>0</v>
      </c>
      <c r="V217" s="123">
        <f t="shared" si="139"/>
        <v>0</v>
      </c>
      <c r="W217" s="123">
        <f t="shared" si="139"/>
        <v>0</v>
      </c>
      <c r="X217" s="123">
        <f t="shared" si="139"/>
        <v>0</v>
      </c>
      <c r="Y217" s="123">
        <f t="shared" si="139"/>
        <v>0</v>
      </c>
    </row>
    <row r="218" spans="2:25" s="129" customFormat="1" x14ac:dyDescent="0.2">
      <c r="B218" s="129" t="s">
        <v>555</v>
      </c>
      <c r="G218" s="123">
        <f>SUM(G177:G187)</f>
        <v>0</v>
      </c>
      <c r="H218" s="123">
        <f t="shared" ref="H218:Y218" si="140">SUM(H177:H187)</f>
        <v>0</v>
      </c>
      <c r="I218" s="123">
        <f t="shared" si="140"/>
        <v>0</v>
      </c>
      <c r="J218" s="123">
        <f t="shared" si="140"/>
        <v>0</v>
      </c>
      <c r="K218" s="123">
        <f t="shared" si="140"/>
        <v>206826.4</v>
      </c>
      <c r="L218" s="123">
        <f t="shared" si="140"/>
        <v>206826.4</v>
      </c>
      <c r="M218" s="123">
        <f t="shared" si="140"/>
        <v>206826.4</v>
      </c>
      <c r="N218" s="123">
        <f t="shared" si="140"/>
        <v>206826.4</v>
      </c>
      <c r="O218" s="123">
        <f t="shared" si="140"/>
        <v>206826.4</v>
      </c>
      <c r="P218" s="123">
        <f t="shared" si="140"/>
        <v>206826.4</v>
      </c>
      <c r="Q218" s="123">
        <f t="shared" si="140"/>
        <v>206826.4</v>
      </c>
      <c r="R218" s="123">
        <f t="shared" si="140"/>
        <v>206826.4</v>
      </c>
      <c r="S218" s="123">
        <f t="shared" si="140"/>
        <v>206826.4</v>
      </c>
      <c r="T218" s="123">
        <f t="shared" si="140"/>
        <v>206826.4</v>
      </c>
      <c r="U218" s="123">
        <f t="shared" si="140"/>
        <v>206826.4</v>
      </c>
      <c r="V218" s="123">
        <f t="shared" si="140"/>
        <v>206826.4</v>
      </c>
      <c r="W218" s="123">
        <f t="shared" si="140"/>
        <v>206826.4</v>
      </c>
      <c r="X218" s="123">
        <f t="shared" si="140"/>
        <v>206826.4</v>
      </c>
      <c r="Y218" s="123">
        <f t="shared" si="140"/>
        <v>206826.4</v>
      </c>
    </row>
    <row r="219" spans="2:25" x14ac:dyDescent="0.2">
      <c r="B219" s="2" t="s">
        <v>556</v>
      </c>
      <c r="G219" s="231">
        <f>+G40</f>
        <v>0</v>
      </c>
      <c r="H219" s="231">
        <f t="shared" ref="H219:Y219" si="141">+H40</f>
        <v>0</v>
      </c>
      <c r="I219" s="231">
        <f t="shared" si="141"/>
        <v>0</v>
      </c>
      <c r="J219" s="231">
        <f t="shared" si="141"/>
        <v>309994.66666666669</v>
      </c>
      <c r="K219" s="231">
        <f t="shared" si="141"/>
        <v>423808</v>
      </c>
      <c r="L219" s="231">
        <f t="shared" si="141"/>
        <v>535392</v>
      </c>
      <c r="M219" s="231">
        <f t="shared" si="141"/>
        <v>594000</v>
      </c>
      <c r="N219" s="231">
        <f t="shared" si="141"/>
        <v>644776</v>
      </c>
      <c r="O219" s="231">
        <f t="shared" si="141"/>
        <v>680922</v>
      </c>
      <c r="P219" s="231">
        <f t="shared" si="141"/>
        <v>593560</v>
      </c>
      <c r="Q219" s="231">
        <f t="shared" si="141"/>
        <v>588265.33333333337</v>
      </c>
      <c r="R219" s="231">
        <f t="shared" si="141"/>
        <v>561792</v>
      </c>
      <c r="S219" s="231">
        <f t="shared" si="141"/>
        <v>582970.66666666674</v>
      </c>
      <c r="T219" s="231">
        <f t="shared" si="141"/>
        <v>621357</v>
      </c>
      <c r="U219" s="231">
        <f t="shared" si="141"/>
        <v>636540.23529411759</v>
      </c>
      <c r="V219" s="231">
        <f t="shared" si="141"/>
        <v>650036.4444444445</v>
      </c>
      <c r="W219" s="231">
        <f t="shared" si="141"/>
        <v>695552.00000000012</v>
      </c>
      <c r="X219" s="231">
        <f t="shared" si="141"/>
        <v>688864</v>
      </c>
      <c r="Y219" s="231">
        <f t="shared" si="141"/>
        <v>688864</v>
      </c>
    </row>
    <row r="220" spans="2:25" x14ac:dyDescent="0.2">
      <c r="B220" s="1"/>
      <c r="G220" s="123">
        <f>SUM(G217:G219)</f>
        <v>2309533.6</v>
      </c>
      <c r="H220" s="123">
        <f t="shared" ref="H220:Y220" si="142">SUM(H217:H219)</f>
        <v>1027611.2000000001</v>
      </c>
      <c r="I220" s="123">
        <f t="shared" si="142"/>
        <v>356804.8</v>
      </c>
      <c r="J220" s="123">
        <f t="shared" si="142"/>
        <v>590723.46666666667</v>
      </c>
      <c r="K220" s="123">
        <f t="shared" si="142"/>
        <v>630634.4</v>
      </c>
      <c r="L220" s="123">
        <f t="shared" si="142"/>
        <v>742218.4</v>
      </c>
      <c r="M220" s="123">
        <f t="shared" si="142"/>
        <v>800826.4</v>
      </c>
      <c r="N220" s="123">
        <f t="shared" si="142"/>
        <v>851602.4</v>
      </c>
      <c r="O220" s="123">
        <f t="shared" si="142"/>
        <v>887748.4</v>
      </c>
      <c r="P220" s="123">
        <f t="shared" si="142"/>
        <v>800386.4</v>
      </c>
      <c r="Q220" s="123">
        <f t="shared" si="142"/>
        <v>795091.7333333334</v>
      </c>
      <c r="R220" s="123">
        <f t="shared" si="142"/>
        <v>768618.4</v>
      </c>
      <c r="S220" s="123">
        <f t="shared" si="142"/>
        <v>789797.06666666677</v>
      </c>
      <c r="T220" s="123">
        <f t="shared" si="142"/>
        <v>828183.4</v>
      </c>
      <c r="U220" s="123">
        <f t="shared" si="142"/>
        <v>843366.63529411762</v>
      </c>
      <c r="V220" s="123">
        <f t="shared" si="142"/>
        <v>856862.84444444452</v>
      </c>
      <c r="W220" s="123">
        <f t="shared" si="142"/>
        <v>902378.40000000014</v>
      </c>
      <c r="X220" s="123">
        <f t="shared" si="142"/>
        <v>895690.4</v>
      </c>
      <c r="Y220" s="123">
        <f t="shared" si="142"/>
        <v>895690.4</v>
      </c>
    </row>
    <row r="221" spans="2:25" x14ac:dyDescent="0.2">
      <c r="C221" s="83"/>
      <c r="D221" s="83"/>
      <c r="E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</row>
    <row r="222" spans="2:25" x14ac:dyDescent="0.2">
      <c r="B222" s="2" t="s">
        <v>557</v>
      </c>
      <c r="C222" s="83"/>
      <c r="D222" s="83"/>
      <c r="E222" s="83"/>
      <c r="G222" s="36">
        <f>+G217/('Assumptions &amp; Costs'!$E$76*(1+'Assumptions &amp; Costs'!$C$81))/G$17</f>
        <v>125.57272727272728</v>
      </c>
      <c r="H222" s="36">
        <f>+H217/('Assumptions &amp; Costs'!$E$76*(1+'Assumptions &amp; Costs'!$C$81))/H$17</f>
        <v>55.872727272727282</v>
      </c>
      <c r="I222" s="36">
        <f>+I217/('Assumptions &amp; Costs'!$E$76*(1+'Assumptions &amp; Costs'!$C$81))/I$17</f>
        <v>19.399999999999999</v>
      </c>
      <c r="J222" s="36">
        <f>+J217/('Assumptions &amp; Costs'!$E$76*(1+'Assumptions &amp; Costs'!$C$81))/J$17</f>
        <v>15.263636363636365</v>
      </c>
      <c r="K222" s="36">
        <f>+K217/('Assumptions &amp; Costs'!$E$76*(1+'Assumptions &amp; Costs'!$C$81))/K$17</f>
        <v>0</v>
      </c>
      <c r="L222" s="36">
        <f>+L217/('Assumptions &amp; Costs'!$E$76*(1+'Assumptions &amp; Costs'!$C$81))/L$17</f>
        <v>0</v>
      </c>
      <c r="M222" s="36">
        <f>+M217/('Assumptions &amp; Costs'!$E$76*(1+'Assumptions &amp; Costs'!$C$81))/M$17</f>
        <v>0</v>
      </c>
      <c r="N222" s="36">
        <f>+N217/('Assumptions &amp; Costs'!$E$76*(1+'Assumptions &amp; Costs'!$C$81))/N$17</f>
        <v>0</v>
      </c>
      <c r="O222" s="36">
        <f>+O217/('Assumptions &amp; Costs'!$E$76*(1+'Assumptions &amp; Costs'!$C$81))/O$17</f>
        <v>0</v>
      </c>
      <c r="P222" s="36">
        <f>+P217/('Assumptions &amp; Costs'!$E$76*(1+'Assumptions &amp; Costs'!$C$81))/P$17</f>
        <v>0</v>
      </c>
      <c r="Q222" s="36">
        <f>+Q217/('Assumptions &amp; Costs'!$E$76*(1+'Assumptions &amp; Costs'!$C$81))/Q$17</f>
        <v>0</v>
      </c>
      <c r="R222" s="36">
        <f>+R217/('Assumptions &amp; Costs'!$E$76*(1+'Assumptions &amp; Costs'!$C$81))/R$17</f>
        <v>0</v>
      </c>
      <c r="S222" s="36">
        <f>+S217/('Assumptions &amp; Costs'!$E$76*(1+'Assumptions &amp; Costs'!$C$81))/S$17</f>
        <v>0</v>
      </c>
      <c r="T222" s="36">
        <f>+T217/('Assumptions &amp; Costs'!$E$76*(1+'Assumptions &amp; Costs'!$C$81))/T$17</f>
        <v>0</v>
      </c>
      <c r="U222" s="36">
        <f>+U217/('Assumptions &amp; Costs'!$E$76*(1+'Assumptions &amp; Costs'!$C$81))/U$17</f>
        <v>0</v>
      </c>
      <c r="V222" s="36">
        <f>+V217/('Assumptions &amp; Costs'!$E$76*(1+'Assumptions &amp; Costs'!$C$81))/V$17</f>
        <v>0</v>
      </c>
      <c r="W222" s="36">
        <f>+W217/('Assumptions &amp; Costs'!$E$76*(1+'Assumptions &amp; Costs'!$C$81))/W$17</f>
        <v>0</v>
      </c>
      <c r="X222" s="36">
        <f>+X217/('Assumptions &amp; Costs'!$E$76*(1+'Assumptions &amp; Costs'!$C$81))/X$17</f>
        <v>0</v>
      </c>
      <c r="Y222" s="36">
        <f>+Y217/('Assumptions &amp; Costs'!$E$76*(1+'Assumptions &amp; Costs'!$C$81))/Y$17</f>
        <v>0</v>
      </c>
    </row>
    <row r="223" spans="2:25" x14ac:dyDescent="0.2">
      <c r="B223" s="2" t="s">
        <v>558</v>
      </c>
      <c r="C223" s="83"/>
      <c r="D223" s="83"/>
      <c r="E223" s="83"/>
      <c r="G223" s="36">
        <f>+G218/('Assumptions &amp; Costs'!$E$76*(1+'Assumptions &amp; Costs'!$C$81))/G$17</f>
        <v>0</v>
      </c>
      <c r="H223" s="36">
        <f>+H218/('Assumptions &amp; Costs'!$E$76*(1+'Assumptions &amp; Costs'!$C$81))/H$17</f>
        <v>0</v>
      </c>
      <c r="I223" s="36">
        <f>+I218/('Assumptions &amp; Costs'!$E$76*(1+'Assumptions &amp; Costs'!$C$81))/I$17</f>
        <v>0</v>
      </c>
      <c r="J223" s="36">
        <f>+J218/('Assumptions &amp; Costs'!$E$76*(1+'Assumptions &amp; Costs'!$C$81))/J$17</f>
        <v>0</v>
      </c>
      <c r="K223" s="36">
        <f>+K218/('Assumptions &amp; Costs'!$E$76*(1+'Assumptions &amp; Costs'!$C$81))/K$17</f>
        <v>11.245454545454544</v>
      </c>
      <c r="L223" s="36">
        <f>+L218/('Assumptions &amp; Costs'!$E$76*(1+'Assumptions &amp; Costs'!$C$81))/L$17</f>
        <v>11.245454545454544</v>
      </c>
      <c r="M223" s="36">
        <f>+M218/('Assumptions &amp; Costs'!$E$76*(1+'Assumptions &amp; Costs'!$C$81))/M$17</f>
        <v>11.245454545454544</v>
      </c>
      <c r="N223" s="36">
        <f>+N218/('Assumptions &amp; Costs'!$E$76*(1+'Assumptions &amp; Costs'!$C$81))/N$17</f>
        <v>11.245454545454544</v>
      </c>
      <c r="O223" s="36">
        <f>+O218/('Assumptions &amp; Costs'!$E$76*(1+'Assumptions &amp; Costs'!$C$81))/O$17</f>
        <v>11.245454545454544</v>
      </c>
      <c r="P223" s="36">
        <f>+P218/('Assumptions &amp; Costs'!$E$76*(1+'Assumptions &amp; Costs'!$C$81))/P$17</f>
        <v>11.245454545454544</v>
      </c>
      <c r="Q223" s="36">
        <f>+Q218/('Assumptions &amp; Costs'!$E$76*(1+'Assumptions &amp; Costs'!$C$81))/Q$17</f>
        <v>11.245454545454544</v>
      </c>
      <c r="R223" s="36">
        <f>+R218/('Assumptions &amp; Costs'!$E$76*(1+'Assumptions &amp; Costs'!$C$81))/R$17</f>
        <v>11.245454545454544</v>
      </c>
      <c r="S223" s="36">
        <f>+S218/('Assumptions &amp; Costs'!$E$76*(1+'Assumptions &amp; Costs'!$C$81))/S$17</f>
        <v>11.245454545454544</v>
      </c>
      <c r="T223" s="36">
        <f>+T218/('Assumptions &amp; Costs'!$E$76*(1+'Assumptions &amp; Costs'!$C$81))/T$17</f>
        <v>11.245454545454544</v>
      </c>
      <c r="U223" s="36">
        <f>+U218/('Assumptions &amp; Costs'!$E$76*(1+'Assumptions &amp; Costs'!$C$81))/U$17</f>
        <v>11.245454545454544</v>
      </c>
      <c r="V223" s="36">
        <f>+V218/('Assumptions &amp; Costs'!$E$76*(1+'Assumptions &amp; Costs'!$C$81))/V$17</f>
        <v>11.245454545454544</v>
      </c>
      <c r="W223" s="36">
        <f>+W218/('Assumptions &amp; Costs'!$E$76*(1+'Assumptions &amp; Costs'!$C$81))/W$17</f>
        <v>11.245454545454544</v>
      </c>
      <c r="X223" s="36">
        <f>+X218/('Assumptions &amp; Costs'!$E$76*(1+'Assumptions &amp; Costs'!$C$81))/X$17</f>
        <v>11.245454545454544</v>
      </c>
      <c r="Y223" s="36">
        <f>+Y218/('Assumptions &amp; Costs'!$E$76*(1+'Assumptions &amp; Costs'!$C$81))/Y$17</f>
        <v>11.245454545454544</v>
      </c>
    </row>
    <row r="224" spans="2:25" x14ac:dyDescent="0.2">
      <c r="B224" s="2" t="s">
        <v>559</v>
      </c>
      <c r="C224" s="83"/>
      <c r="D224" s="83"/>
      <c r="E224" s="83"/>
      <c r="G224" s="53">
        <f>+G219/('Assumptions &amp; Costs'!$E$75*(1+'Assumptions &amp; Costs'!$C$81))/G$17</f>
        <v>0</v>
      </c>
      <c r="H224" s="53">
        <f>+H219/('Assumptions &amp; Costs'!$E$75*(1+'Assumptions &amp; Costs'!$C$81))/H$17</f>
        <v>0</v>
      </c>
      <c r="I224" s="53">
        <f>+I219/('Assumptions &amp; Costs'!$E$75*(1+'Assumptions &amp; Costs'!$C$81))/I$17</f>
        <v>0</v>
      </c>
      <c r="J224" s="53">
        <f>+J219/('Assumptions &amp; Costs'!$E$75*(1+'Assumptions &amp; Costs'!$C$81))/J$17</f>
        <v>15.450292397660821</v>
      </c>
      <c r="K224" s="53">
        <f>+K219/('Assumptions &amp; Costs'!$E$75*(1+'Assumptions &amp; Costs'!$C$81))/K$17</f>
        <v>21.12280701754386</v>
      </c>
      <c r="L224" s="53">
        <f>+L219/('Assumptions &amp; Costs'!$E$75*(1+'Assumptions &amp; Costs'!$C$81))/L$17</f>
        <v>26.684210526315791</v>
      </c>
      <c r="M224" s="53">
        <f>+M219/('Assumptions &amp; Costs'!$E$75*(1+'Assumptions &amp; Costs'!$C$81))/M$17</f>
        <v>29.605263157894736</v>
      </c>
      <c r="N224" s="53">
        <f>+N219/('Assumptions &amp; Costs'!$E$75*(1+'Assumptions &amp; Costs'!$C$81))/N$17</f>
        <v>32.135964912280706</v>
      </c>
      <c r="O224" s="53">
        <f>+O219/('Assumptions &amp; Costs'!$E$75*(1+'Assumptions &amp; Costs'!$C$81))/O$17</f>
        <v>33.937500000000007</v>
      </c>
      <c r="P224" s="53">
        <f>+P219/('Assumptions &amp; Costs'!$E$75*(1+'Assumptions &amp; Costs'!$C$81))/P$17</f>
        <v>29.583333333333336</v>
      </c>
      <c r="Q224" s="53">
        <f>+Q219/('Assumptions &amp; Costs'!$E$75*(1+'Assumptions &amp; Costs'!$C$81))/Q$17</f>
        <v>29.319444444444446</v>
      </c>
      <c r="R224" s="53">
        <f>+R219/('Assumptions &amp; Costs'!$E$75*(1+'Assumptions &amp; Costs'!$C$81))/R$17</f>
        <v>28</v>
      </c>
      <c r="S224" s="53">
        <f>+S219/('Assumptions &amp; Costs'!$E$75*(1+'Assumptions &amp; Costs'!$C$81))/S$17</f>
        <v>29.055555555555561</v>
      </c>
      <c r="T224" s="53">
        <f>+T219/('Assumptions &amp; Costs'!$E$75*(1+'Assumptions &amp; Costs'!$C$81))/T$17</f>
        <v>30.96875</v>
      </c>
      <c r="U224" s="53">
        <f>+U219/('Assumptions &amp; Costs'!$E$75*(1+'Assumptions &amp; Costs'!$C$81))/U$17</f>
        <v>31.725490196078432</v>
      </c>
      <c r="V224" s="53">
        <f>+V219/('Assumptions &amp; Costs'!$E$75*(1+'Assumptions &amp; Costs'!$C$81))/V$17</f>
        <v>32.398148148148152</v>
      </c>
      <c r="W224" s="53">
        <f>+W219/('Assumptions &amp; Costs'!$E$75*(1+'Assumptions &amp; Costs'!$C$81))/W$17</f>
        <v>34.666666666666671</v>
      </c>
      <c r="X224" s="53">
        <f>+X219/('Assumptions &amp; Costs'!$E$75*(1+'Assumptions &amp; Costs'!$C$81))/X$17</f>
        <v>34.333333333333336</v>
      </c>
      <c r="Y224" s="53">
        <f>+Y219/('Assumptions &amp; Costs'!$E$75*(1+'Assumptions &amp; Costs'!$C$81))/Y$17</f>
        <v>34.333333333333336</v>
      </c>
    </row>
    <row r="225" spans="2:25" x14ac:dyDescent="0.2">
      <c r="G225" s="61">
        <f>SUM(G222:G224)</f>
        <v>125.57272727272728</v>
      </c>
      <c r="H225" s="61">
        <f t="shared" ref="H225:Y225" si="143">SUM(H222:H224)</f>
        <v>55.872727272727282</v>
      </c>
      <c r="I225" s="61">
        <f t="shared" si="143"/>
        <v>19.399999999999999</v>
      </c>
      <c r="J225" s="61">
        <f t="shared" si="143"/>
        <v>30.713928761297186</v>
      </c>
      <c r="K225" s="61">
        <f t="shared" si="143"/>
        <v>32.368261562998406</v>
      </c>
      <c r="L225" s="61">
        <f t="shared" si="143"/>
        <v>37.929665071770337</v>
      </c>
      <c r="M225" s="61">
        <f t="shared" si="143"/>
        <v>40.850717703349282</v>
      </c>
      <c r="N225" s="61">
        <f t="shared" si="143"/>
        <v>43.381419457735248</v>
      </c>
      <c r="O225" s="61">
        <f t="shared" si="143"/>
        <v>45.18295454545455</v>
      </c>
      <c r="P225" s="61">
        <f t="shared" si="143"/>
        <v>40.828787878787878</v>
      </c>
      <c r="Q225" s="61">
        <f t="shared" si="143"/>
        <v>40.564898989898992</v>
      </c>
      <c r="R225" s="61">
        <f t="shared" si="143"/>
        <v>39.245454545454542</v>
      </c>
      <c r="S225" s="61">
        <f t="shared" si="143"/>
        <v>40.301010101010107</v>
      </c>
      <c r="T225" s="61">
        <f t="shared" si="143"/>
        <v>42.214204545454542</v>
      </c>
      <c r="U225" s="61">
        <f t="shared" si="143"/>
        <v>42.970944741532975</v>
      </c>
      <c r="V225" s="61">
        <f t="shared" si="143"/>
        <v>43.643602693602695</v>
      </c>
      <c r="W225" s="61">
        <f t="shared" si="143"/>
        <v>45.912121212121214</v>
      </c>
      <c r="X225" s="61">
        <f t="shared" si="143"/>
        <v>45.578787878787878</v>
      </c>
      <c r="Y225" s="61">
        <f t="shared" si="143"/>
        <v>45.578787878787878</v>
      </c>
    </row>
    <row r="226" spans="2:25" x14ac:dyDescent="0.2">
      <c r="E226" s="2" t="s">
        <v>561</v>
      </c>
    </row>
    <row r="227" spans="2:25" x14ac:dyDescent="0.2">
      <c r="B227" s="2" t="s">
        <v>560</v>
      </c>
      <c r="E227" s="2">
        <f>5.5*46</f>
        <v>253</v>
      </c>
      <c r="F227" s="83"/>
      <c r="G227" s="83">
        <f t="shared" ref="G227:Y227" si="144">+G222*G$17/$E$227</f>
        <v>1588.2716492993175</v>
      </c>
      <c r="H227" s="123">
        <f t="shared" si="144"/>
        <v>706.69062163133322</v>
      </c>
      <c r="I227" s="123">
        <f t="shared" si="144"/>
        <v>245.37549407114622</v>
      </c>
      <c r="J227" s="123">
        <f t="shared" si="144"/>
        <v>193.05785123966945</v>
      </c>
      <c r="K227" s="123">
        <f t="shared" si="144"/>
        <v>0</v>
      </c>
      <c r="L227" s="123">
        <f t="shared" si="144"/>
        <v>0</v>
      </c>
      <c r="M227" s="123">
        <f t="shared" si="144"/>
        <v>0</v>
      </c>
      <c r="N227" s="123">
        <f t="shared" si="144"/>
        <v>0</v>
      </c>
      <c r="O227" s="123">
        <f t="shared" si="144"/>
        <v>0</v>
      </c>
      <c r="P227" s="123">
        <f t="shared" si="144"/>
        <v>0</v>
      </c>
      <c r="Q227" s="123">
        <f t="shared" si="144"/>
        <v>0</v>
      </c>
      <c r="R227" s="123">
        <f t="shared" si="144"/>
        <v>0</v>
      </c>
      <c r="S227" s="123">
        <f t="shared" si="144"/>
        <v>0</v>
      </c>
      <c r="T227" s="123">
        <f t="shared" si="144"/>
        <v>0</v>
      </c>
      <c r="U227" s="123">
        <f t="shared" si="144"/>
        <v>0</v>
      </c>
      <c r="V227" s="123">
        <f t="shared" si="144"/>
        <v>0</v>
      </c>
      <c r="W227" s="123">
        <f t="shared" si="144"/>
        <v>0</v>
      </c>
      <c r="X227" s="123">
        <f t="shared" si="144"/>
        <v>0</v>
      </c>
      <c r="Y227" s="123">
        <f t="shared" si="144"/>
        <v>0</v>
      </c>
    </row>
    <row r="228" spans="2:25" x14ac:dyDescent="0.2">
      <c r="B228" s="129" t="s">
        <v>197</v>
      </c>
      <c r="F228" s="83"/>
      <c r="G228" s="123">
        <f t="shared" ref="G228:Y228" si="145">+G223*G$17/$E$227</f>
        <v>0</v>
      </c>
      <c r="H228" s="123">
        <f t="shared" si="145"/>
        <v>0</v>
      </c>
      <c r="I228" s="123">
        <f t="shared" si="145"/>
        <v>0</v>
      </c>
      <c r="J228" s="123">
        <f t="shared" si="145"/>
        <v>0</v>
      </c>
      <c r="K228" s="123">
        <f t="shared" si="145"/>
        <v>142.23499820337764</v>
      </c>
      <c r="L228" s="123">
        <f t="shared" si="145"/>
        <v>142.23499820337764</v>
      </c>
      <c r="M228" s="123">
        <f t="shared" si="145"/>
        <v>142.23499820337764</v>
      </c>
      <c r="N228" s="123">
        <f t="shared" si="145"/>
        <v>142.23499820337764</v>
      </c>
      <c r="O228" s="123">
        <f t="shared" si="145"/>
        <v>142.23499820337764</v>
      </c>
      <c r="P228" s="123">
        <f t="shared" si="145"/>
        <v>142.23499820337764</v>
      </c>
      <c r="Q228" s="123">
        <f t="shared" si="145"/>
        <v>142.23499820337764</v>
      </c>
      <c r="R228" s="123">
        <f t="shared" si="145"/>
        <v>142.23499820337764</v>
      </c>
      <c r="S228" s="123">
        <f t="shared" si="145"/>
        <v>142.23499820337764</v>
      </c>
      <c r="T228" s="123">
        <f t="shared" si="145"/>
        <v>142.23499820337764</v>
      </c>
      <c r="U228" s="123">
        <f t="shared" si="145"/>
        <v>142.23499820337764</v>
      </c>
      <c r="V228" s="123">
        <f t="shared" si="145"/>
        <v>142.23499820337764</v>
      </c>
      <c r="W228" s="123">
        <f t="shared" si="145"/>
        <v>142.23499820337764</v>
      </c>
      <c r="X228" s="123">
        <f t="shared" si="145"/>
        <v>142.23499820337764</v>
      </c>
      <c r="Y228" s="123">
        <f t="shared" si="145"/>
        <v>142.23499820337764</v>
      </c>
    </row>
    <row r="229" spans="2:25" x14ac:dyDescent="0.2">
      <c r="B229" s="129" t="s">
        <v>198</v>
      </c>
      <c r="F229" s="83"/>
      <c r="G229" s="231">
        <f t="shared" ref="G229:Y229" si="146">+G224*G$17/$E$227</f>
        <v>0</v>
      </c>
      <c r="H229" s="231">
        <f t="shared" si="146"/>
        <v>0</v>
      </c>
      <c r="I229" s="231">
        <f t="shared" si="146"/>
        <v>0</v>
      </c>
      <c r="J229" s="231">
        <f t="shared" si="146"/>
        <v>195.41871807318034</v>
      </c>
      <c r="K229" s="231">
        <f t="shared" si="146"/>
        <v>267.16593856181959</v>
      </c>
      <c r="L229" s="231">
        <f t="shared" si="146"/>
        <v>337.50780112336179</v>
      </c>
      <c r="M229" s="231">
        <f t="shared" si="146"/>
        <v>374.45392136467655</v>
      </c>
      <c r="N229" s="231">
        <f t="shared" si="146"/>
        <v>406.4627973094793</v>
      </c>
      <c r="O229" s="231">
        <f t="shared" si="146"/>
        <v>429.24901185770761</v>
      </c>
      <c r="P229" s="231">
        <f t="shared" si="146"/>
        <v>374.17654808959156</v>
      </c>
      <c r="Q229" s="231">
        <f t="shared" si="146"/>
        <v>370.8388230127361</v>
      </c>
      <c r="R229" s="231">
        <f t="shared" si="146"/>
        <v>354.1501976284585</v>
      </c>
      <c r="S229" s="231">
        <f t="shared" si="146"/>
        <v>367.50109793588064</v>
      </c>
      <c r="T229" s="231">
        <f t="shared" si="146"/>
        <v>391.699604743083</v>
      </c>
      <c r="U229" s="231">
        <f t="shared" si="146"/>
        <v>401.27102224288922</v>
      </c>
      <c r="V229" s="231">
        <f t="shared" si="146"/>
        <v>409.77894890938376</v>
      </c>
      <c r="W229" s="231">
        <f t="shared" si="146"/>
        <v>438.471673254282</v>
      </c>
      <c r="X229" s="231">
        <f t="shared" si="146"/>
        <v>434.25559947299081</v>
      </c>
      <c r="Y229" s="231">
        <f t="shared" si="146"/>
        <v>434.25559947299081</v>
      </c>
    </row>
    <row r="230" spans="2:25" x14ac:dyDescent="0.2">
      <c r="F230" s="83"/>
      <c r="G230" s="83">
        <f>SUM(G227:G229)</f>
        <v>1588.2716492993175</v>
      </c>
      <c r="H230" s="123">
        <f t="shared" ref="H230:Y230" si="147">SUM(H227:H229)</f>
        <v>706.69062163133322</v>
      </c>
      <c r="I230" s="123">
        <f t="shared" si="147"/>
        <v>245.37549407114622</v>
      </c>
      <c r="J230" s="123">
        <f t="shared" si="147"/>
        <v>388.47656931284979</v>
      </c>
      <c r="K230" s="123">
        <f t="shared" si="147"/>
        <v>409.40093676519723</v>
      </c>
      <c r="L230" s="123">
        <f t="shared" si="147"/>
        <v>479.74279932673943</v>
      </c>
      <c r="M230" s="123">
        <f t="shared" si="147"/>
        <v>516.68891956805419</v>
      </c>
      <c r="N230" s="123">
        <f t="shared" si="147"/>
        <v>548.69779551285694</v>
      </c>
      <c r="O230" s="123">
        <f t="shared" si="147"/>
        <v>571.4840100610852</v>
      </c>
      <c r="P230" s="123">
        <f t="shared" si="147"/>
        <v>516.41154629296921</v>
      </c>
      <c r="Q230" s="123">
        <f t="shared" si="147"/>
        <v>513.07382121611374</v>
      </c>
      <c r="R230" s="123">
        <f t="shared" si="147"/>
        <v>496.38519583183614</v>
      </c>
      <c r="S230" s="123">
        <f t="shared" si="147"/>
        <v>509.73609613925828</v>
      </c>
      <c r="T230" s="123">
        <f t="shared" si="147"/>
        <v>533.9346029464607</v>
      </c>
      <c r="U230" s="123">
        <f t="shared" si="147"/>
        <v>543.5060204462668</v>
      </c>
      <c r="V230" s="123">
        <f t="shared" si="147"/>
        <v>552.01394711276134</v>
      </c>
      <c r="W230" s="123">
        <f t="shared" si="147"/>
        <v>580.7066714576597</v>
      </c>
      <c r="X230" s="123">
        <f t="shared" si="147"/>
        <v>576.49059767636845</v>
      </c>
      <c r="Y230" s="123">
        <f t="shared" si="147"/>
        <v>576.49059767636845</v>
      </c>
    </row>
    <row r="231" spans="2:25" x14ac:dyDescent="0.2"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</row>
    <row r="234" spans="2:25" x14ac:dyDescent="0.2"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</row>
    <row r="235" spans="2:25" x14ac:dyDescent="0.2"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</row>
    <row r="236" spans="2:25" x14ac:dyDescent="0.2"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</row>
    <row r="237" spans="2:25" x14ac:dyDescent="0.2"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</row>
    <row r="238" spans="2:25" x14ac:dyDescent="0.2"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</row>
    <row r="239" spans="2:25" x14ac:dyDescent="0.2"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</row>
    <row r="242" spans="6:25" x14ac:dyDescent="0.2"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</row>
    <row r="243" spans="6:25" x14ac:dyDescent="0.2"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</row>
    <row r="244" spans="6:25" x14ac:dyDescent="0.2"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</row>
    <row r="245" spans="6:25" x14ac:dyDescent="0.2"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</row>
    <row r="247" spans="6:25" x14ac:dyDescent="0.2"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107"/>
  <sheetViews>
    <sheetView showGridLines="0" topLeftCell="B1" zoomScaleNormal="100" workbookViewId="0">
      <pane xSplit="1" ySplit="4" topLeftCell="N5" activePane="bottomRight" state="frozen"/>
      <selection activeCell="D34" sqref="D34"/>
      <selection pane="topRight" activeCell="D34" sqref="D34"/>
      <selection pane="bottomLeft" activeCell="D34" sqref="D34"/>
      <selection pane="bottomRight" activeCell="O28" sqref="O28"/>
    </sheetView>
  </sheetViews>
  <sheetFormatPr defaultRowHeight="12.75" x14ac:dyDescent="0.2"/>
  <cols>
    <col min="1" max="1" width="9.140625" style="2"/>
    <col min="2" max="2" width="38.85546875" style="2" customWidth="1"/>
    <col min="3" max="51" width="15.7109375" style="2" customWidth="1"/>
    <col min="52" max="16384" width="9.140625" style="2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1" t="s">
        <v>360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6" spans="2:23" x14ac:dyDescent="0.2">
      <c r="B6" s="2" t="s">
        <v>133</v>
      </c>
      <c r="C6" s="36" t="s">
        <v>397</v>
      </c>
    </row>
    <row r="7" spans="2:23" x14ac:dyDescent="0.2">
      <c r="B7" s="2" t="s">
        <v>134</v>
      </c>
      <c r="C7" s="36">
        <v>0</v>
      </c>
    </row>
    <row r="8" spans="2:23" x14ac:dyDescent="0.2">
      <c r="B8" s="2" t="s">
        <v>155</v>
      </c>
      <c r="C8" s="36"/>
    </row>
    <row r="9" spans="2:23" x14ac:dyDescent="0.2">
      <c r="B9" s="2" t="s">
        <v>518</v>
      </c>
      <c r="C9" s="7">
        <f>+'Inputs General'!E30</f>
        <v>0.3</v>
      </c>
      <c r="D9" s="2" t="s">
        <v>509</v>
      </c>
    </row>
    <row r="10" spans="2:23" x14ac:dyDescent="0.2">
      <c r="B10" s="2" t="s">
        <v>135</v>
      </c>
      <c r="C10" s="7">
        <f>'Inputs General'!E34</f>
        <v>0.03</v>
      </c>
    </row>
    <row r="11" spans="2:23" x14ac:dyDescent="0.2">
      <c r="B11" s="2" t="s">
        <v>517</v>
      </c>
      <c r="C11" s="36">
        <f>SUM(D11:W11)</f>
        <v>19819108</v>
      </c>
      <c r="D11" s="50">
        <f>+'Inputs General'!D27</f>
        <v>0</v>
      </c>
      <c r="E11" s="36">
        <f>+'Inputs General'!E27</f>
        <v>11350553</v>
      </c>
      <c r="F11" s="36">
        <f>+'Inputs General'!F27</f>
        <v>3039162</v>
      </c>
      <c r="G11" s="36">
        <f>+'Inputs General'!G27</f>
        <v>2241760</v>
      </c>
      <c r="H11" s="36">
        <f>+'Inputs General'!H27</f>
        <v>1315505</v>
      </c>
      <c r="I11" s="36">
        <f>+'Inputs General'!I27</f>
        <v>1176912</v>
      </c>
      <c r="J11" s="36">
        <f>+'Inputs General'!J27</f>
        <v>583814</v>
      </c>
      <c r="K11" s="36">
        <f>+'Inputs General'!K27</f>
        <v>111402</v>
      </c>
      <c r="L11" s="36">
        <f>+'Inputs General'!L27</f>
        <v>0</v>
      </c>
      <c r="M11" s="36">
        <f>+'Inputs General'!M27</f>
        <v>0</v>
      </c>
      <c r="N11" s="36">
        <f>+'Inputs General'!N27</f>
        <v>0</v>
      </c>
      <c r="O11" s="36">
        <f>+'Inputs General'!O27</f>
        <v>0</v>
      </c>
      <c r="P11" s="36">
        <f>+'Inputs General'!P27</f>
        <v>0</v>
      </c>
      <c r="Q11" s="36">
        <f>+'Inputs General'!Q27</f>
        <v>0</v>
      </c>
      <c r="R11" s="36">
        <f>+'Inputs General'!R27</f>
        <v>0</v>
      </c>
      <c r="S11" s="36">
        <f>+'Inputs General'!S27</f>
        <v>0</v>
      </c>
      <c r="T11" s="36">
        <f>+'Inputs General'!T27</f>
        <v>0</v>
      </c>
      <c r="U11" s="36">
        <f>+'Inputs General'!U27</f>
        <v>0</v>
      </c>
      <c r="V11" s="36">
        <f>+'Inputs General'!V27</f>
        <v>0</v>
      </c>
      <c r="W11" s="36">
        <f>+'Inputs General'!W27</f>
        <v>0</v>
      </c>
    </row>
    <row r="12" spans="2:23" x14ac:dyDescent="0.2">
      <c r="B12" s="15" t="s">
        <v>156</v>
      </c>
      <c r="D12" s="83">
        <v>0</v>
      </c>
      <c r="E12" s="36">
        <f ca="1">D20</f>
        <v>0</v>
      </c>
      <c r="F12" s="36">
        <f ca="1">E20+E19</f>
        <v>11350553</v>
      </c>
      <c r="G12" s="36">
        <f ca="1">F20</f>
        <v>14730231.59</v>
      </c>
      <c r="H12" s="36">
        <f t="shared" ref="H12:W12" ca="1" si="1">G20</f>
        <v>17413898.537700001</v>
      </c>
      <c r="I12" s="36">
        <f t="shared" ca="1" si="1"/>
        <v>18840940.493831001</v>
      </c>
      <c r="J12" s="36">
        <f t="shared" ca="1" si="1"/>
        <v>19761320.708645932</v>
      </c>
      <c r="K12" s="36">
        <f t="shared" ca="1" si="1"/>
        <v>19705334.329905309</v>
      </c>
      <c r="L12" s="36">
        <f t="shared" ca="1" si="1"/>
        <v>18867096.35980247</v>
      </c>
      <c r="M12" s="36">
        <f t="shared" ca="1" si="1"/>
        <v>17686869.250596542</v>
      </c>
      <c r="N12" s="36">
        <f t="shared" ca="1" si="1"/>
        <v>16265795.328114439</v>
      </c>
      <c r="O12" s="36">
        <f t="shared" ca="1" si="1"/>
        <v>14802089.187957872</v>
      </c>
      <c r="P12" s="36">
        <f t="shared" ca="1" si="1"/>
        <v>13294471.863596607</v>
      </c>
      <c r="Q12" s="36">
        <f t="shared" ca="1" si="1"/>
        <v>11741626.019504506</v>
      </c>
      <c r="R12" s="36">
        <f t="shared" ca="1" si="1"/>
        <v>10142194.800089641</v>
      </c>
      <c r="S12" s="36">
        <f t="shared" ca="1" si="1"/>
        <v>8494780.6440923288</v>
      </c>
      <c r="T12" s="36">
        <f t="shared" ca="1" si="1"/>
        <v>6797944.0634150989</v>
      </c>
      <c r="U12" s="36">
        <f t="shared" ca="1" si="1"/>
        <v>5050202.3853175519</v>
      </c>
      <c r="V12" s="36">
        <f t="shared" ca="1" si="1"/>
        <v>3250028.4568770784</v>
      </c>
      <c r="W12" s="36">
        <f t="shared" ca="1" si="1"/>
        <v>1395849.3105833908</v>
      </c>
    </row>
    <row r="13" spans="2:23" x14ac:dyDescent="0.2">
      <c r="B13" s="15" t="s">
        <v>565</v>
      </c>
      <c r="D13" s="83">
        <f>'Inputs General'!D27</f>
        <v>0</v>
      </c>
      <c r="E13" s="36">
        <f>'Inputs General'!E27</f>
        <v>11350553</v>
      </c>
      <c r="F13" s="36">
        <f>'Inputs General'!F27</f>
        <v>3039162</v>
      </c>
      <c r="G13" s="36">
        <f>'Inputs General'!G27</f>
        <v>2241760</v>
      </c>
      <c r="H13" s="36">
        <f>'Inputs General'!H27</f>
        <v>1315505</v>
      </c>
      <c r="I13" s="36">
        <f>'Inputs General'!I27</f>
        <v>1176912</v>
      </c>
      <c r="J13" s="36">
        <f>'Inputs General'!J27</f>
        <v>583814</v>
      </c>
      <c r="K13" s="36">
        <f>'Inputs General'!K27</f>
        <v>111402</v>
      </c>
      <c r="L13" s="36">
        <f>'Inputs General'!L27</f>
        <v>0</v>
      </c>
      <c r="M13" s="36">
        <f>'Inputs General'!M27</f>
        <v>0</v>
      </c>
      <c r="N13" s="36">
        <f>'Inputs General'!N27</f>
        <v>0</v>
      </c>
      <c r="O13" s="36">
        <f>'Inputs General'!O27</f>
        <v>0</v>
      </c>
      <c r="P13" s="36">
        <f>'Inputs General'!P27</f>
        <v>0</v>
      </c>
      <c r="Q13" s="36">
        <f>'Inputs General'!Q27</f>
        <v>0</v>
      </c>
      <c r="R13" s="36">
        <f>'Inputs General'!R27</f>
        <v>0</v>
      </c>
      <c r="S13" s="36">
        <f>'Inputs General'!S27</f>
        <v>0</v>
      </c>
      <c r="T13" s="36">
        <f>'Inputs General'!T27</f>
        <v>0</v>
      </c>
      <c r="U13" s="36">
        <f>'Inputs General'!U27</f>
        <v>0</v>
      </c>
      <c r="V13" s="36">
        <f>'Inputs General'!V27</f>
        <v>0</v>
      </c>
      <c r="W13" s="36">
        <f>'Inputs General'!W27</f>
        <v>0</v>
      </c>
    </row>
    <row r="14" spans="2:23" x14ac:dyDescent="0.2">
      <c r="B14" s="15" t="s">
        <v>158</v>
      </c>
      <c r="D14" s="83"/>
      <c r="E14" s="36">
        <f>-'Total Revenue &amp; Costs'!E14*$C9</f>
        <v>0</v>
      </c>
      <c r="F14" s="36">
        <f>-'Total Revenue &amp; Costs'!F14*$C9</f>
        <v>0</v>
      </c>
      <c r="G14" s="36">
        <f>-'Total Revenue &amp; Costs'!G14*$C9</f>
        <v>0</v>
      </c>
      <c r="H14" s="36">
        <f ca="1">IF(('Total Revenue &amp; Costs'!H14*$C9)+H17&lt;H12,-'Total Revenue &amp; Costs'!H14*$C9,-H12-H17)</f>
        <v>-410880</v>
      </c>
      <c r="I14" s="36">
        <f ca="1">IF(('Total Revenue &amp; Costs'!I14*$C9)+I17&lt;I12,-'Total Revenue &amp; Costs'!I14*$C9,-I12-I17)</f>
        <v>-821760</v>
      </c>
      <c r="J14" s="36">
        <f ca="1">IF(('Total Revenue &amp; Costs'!J14*$C9)+J17&lt;J12,-'Total Revenue &amp; Costs'!J14*$C9,-J12-J17)</f>
        <v>-1232640</v>
      </c>
      <c r="K14" s="36">
        <f ca="1">IF(('Total Revenue &amp; Costs'!K14*$C9)+K17&lt;K12,-'Total Revenue &amp; Costs'!K14*$C9,-K12-K17)</f>
        <v>-1540800</v>
      </c>
      <c r="L14" s="36">
        <f ca="1">IF(('Total Revenue &amp; Costs'!L14*$C9)+L17&lt;L12,-'Total Revenue &amp; Costs'!L14*$C9,-L12-L17)</f>
        <v>-1746240</v>
      </c>
      <c r="M14" s="36">
        <f ca="1">IF(('Total Revenue &amp; Costs'!M14*$C9)+M17&lt;M12,-'Total Revenue &amp; Costs'!M14*$C9,-M12-M17)</f>
        <v>-1951680</v>
      </c>
      <c r="N14" s="36">
        <f ca="1">IF(('Total Revenue &amp; Costs'!N14*$C9)+N17&lt;N12,-'Total Revenue &amp; Costs'!N14*$C9,-N12-N17)</f>
        <v>-1951680</v>
      </c>
      <c r="O14" s="36">
        <f ca="1">IF(('Total Revenue &amp; Costs'!O14*$C9)+O17&lt;O12,-'Total Revenue &amp; Costs'!O14*$C9,-O12-O17)</f>
        <v>-1951680</v>
      </c>
      <c r="P14" s="36">
        <f ca="1">IF(('Total Revenue &amp; Costs'!P14*$C9)+P17&lt;P12,-'Total Revenue &amp; Costs'!P14*$C9,-P12-P17)</f>
        <v>-1951680</v>
      </c>
      <c r="Q14" s="36">
        <f ca="1">IF(('Total Revenue &amp; Costs'!Q14*$C9)+Q17&lt;Q12,-'Total Revenue &amp; Costs'!Q14*$C9,-Q12-Q17)</f>
        <v>-1951680</v>
      </c>
      <c r="R14" s="36">
        <f ca="1">IF(('Total Revenue &amp; Costs'!R14*$C9)+R17&lt;R12,-'Total Revenue &amp; Costs'!R14*$C9,-R12-R17)</f>
        <v>-1951680</v>
      </c>
      <c r="S14" s="36">
        <f ca="1">IF(('Total Revenue &amp; Costs'!S14*$C9)+S17&lt;S12,-'Total Revenue &amp; Costs'!S14*$C9,-S12-S17)</f>
        <v>-1951680</v>
      </c>
      <c r="T14" s="36">
        <f ca="1">IF(('Total Revenue &amp; Costs'!T14*$C9)+T17&lt;T12,-'Total Revenue &amp; Costs'!T14*$C9,-T12-T17)</f>
        <v>-1951680</v>
      </c>
      <c r="U14" s="36">
        <f ca="1">IF(('Total Revenue &amp; Costs'!U14*$C9)+U17&lt;U12,-'Total Revenue &amp; Costs'!U14*$C9,-U12-U17)</f>
        <v>-1951680</v>
      </c>
      <c r="V14" s="36">
        <f ca="1">IF(('Total Revenue &amp; Costs'!V14*$C9)+V17&lt;V12,-'Total Revenue &amp; Costs'!V14*$C9,-V12-V17)</f>
        <v>-1951680</v>
      </c>
      <c r="W14" s="36">
        <f ca="1">IF(('Total Revenue &amp; Costs'!W14*$C9)+W17&lt;W12,-'Total Revenue &amp; Costs'!W14*$C9,-W12-W17)</f>
        <v>-1437724.7899008924</v>
      </c>
    </row>
    <row r="16" spans="2:23" x14ac:dyDescent="0.2">
      <c r="B16" s="40" t="s">
        <v>160</v>
      </c>
      <c r="D16" s="43">
        <f>+C10</f>
        <v>0.03</v>
      </c>
      <c r="E16" s="43">
        <f>+C10</f>
        <v>0.03</v>
      </c>
      <c r="F16" s="43">
        <f t="shared" ref="F16:O16" si="2">E16</f>
        <v>0.03</v>
      </c>
      <c r="G16" s="43">
        <f t="shared" si="2"/>
        <v>0.03</v>
      </c>
      <c r="H16" s="43">
        <f t="shared" si="2"/>
        <v>0.03</v>
      </c>
      <c r="I16" s="43">
        <f t="shared" si="2"/>
        <v>0.03</v>
      </c>
      <c r="J16" s="43">
        <f t="shared" si="2"/>
        <v>0.03</v>
      </c>
      <c r="K16" s="43">
        <f t="shared" si="2"/>
        <v>0.03</v>
      </c>
      <c r="L16" s="43">
        <f t="shared" si="2"/>
        <v>0.03</v>
      </c>
      <c r="M16" s="43">
        <f t="shared" si="2"/>
        <v>0.03</v>
      </c>
      <c r="N16" s="43">
        <f t="shared" si="2"/>
        <v>0.03</v>
      </c>
      <c r="O16" s="43">
        <f t="shared" si="2"/>
        <v>0.03</v>
      </c>
      <c r="P16" s="43">
        <f t="shared" ref="P16" si="3">O16</f>
        <v>0.03</v>
      </c>
      <c r="Q16" s="43">
        <f t="shared" ref="Q16" si="4">P16</f>
        <v>0.03</v>
      </c>
      <c r="R16" s="43">
        <f t="shared" ref="R16" si="5">Q16</f>
        <v>0.03</v>
      </c>
      <c r="S16" s="43">
        <f t="shared" ref="S16" si="6">R16</f>
        <v>0.03</v>
      </c>
      <c r="T16" s="43">
        <f t="shared" ref="T16" si="7">S16</f>
        <v>0.03</v>
      </c>
      <c r="U16" s="43">
        <f t="shared" ref="U16" si="8">T16</f>
        <v>0.03</v>
      </c>
      <c r="V16" s="43">
        <f t="shared" ref="V16" si="9">U16</f>
        <v>0.03</v>
      </c>
      <c r="W16" s="43">
        <f t="shared" ref="W16" si="10">V16</f>
        <v>0.03</v>
      </c>
    </row>
    <row r="17" spans="2:23" x14ac:dyDescent="0.2">
      <c r="B17" s="15" t="s">
        <v>161</v>
      </c>
      <c r="D17" s="83">
        <f ca="1">IF(D20&gt;0,(D20*D16),0)/2</f>
        <v>0</v>
      </c>
      <c r="E17" s="83">
        <f t="shared" ref="E17:W17" ca="1" si="11">IF(E12&gt;0,(E12*E16),0)</f>
        <v>0</v>
      </c>
      <c r="F17" s="83">
        <f t="shared" ca="1" si="11"/>
        <v>340516.58999999997</v>
      </c>
      <c r="G17" s="83">
        <f t="shared" ca="1" si="11"/>
        <v>441906.94769999996</v>
      </c>
      <c r="H17" s="83">
        <f t="shared" ca="1" si="11"/>
        <v>522416.95613100001</v>
      </c>
      <c r="I17" s="83">
        <f t="shared" ca="1" si="11"/>
        <v>565228.21481492999</v>
      </c>
      <c r="J17" s="83">
        <f t="shared" ca="1" si="11"/>
        <v>592839.62125937792</v>
      </c>
      <c r="K17" s="83">
        <f t="shared" ca="1" si="11"/>
        <v>591160.0298971592</v>
      </c>
      <c r="L17" s="83">
        <f t="shared" ca="1" si="11"/>
        <v>566012.89079407405</v>
      </c>
      <c r="M17" s="83">
        <f t="shared" ca="1" si="11"/>
        <v>530606.07751789619</v>
      </c>
      <c r="N17" s="83">
        <f t="shared" ca="1" si="11"/>
        <v>487973.85984343314</v>
      </c>
      <c r="O17" s="83">
        <f t="shared" ca="1" si="11"/>
        <v>444062.67563873611</v>
      </c>
      <c r="P17" s="83">
        <f t="shared" ca="1" si="11"/>
        <v>398834.15590789821</v>
      </c>
      <c r="Q17" s="83">
        <f t="shared" ca="1" si="11"/>
        <v>352248.78058513516</v>
      </c>
      <c r="R17" s="83">
        <f t="shared" ca="1" si="11"/>
        <v>304265.84400268918</v>
      </c>
      <c r="S17" s="83">
        <f t="shared" ca="1" si="11"/>
        <v>254843.41932276986</v>
      </c>
      <c r="T17" s="83">
        <f t="shared" ca="1" si="11"/>
        <v>203938.32190245297</v>
      </c>
      <c r="U17" s="123">
        <f t="shared" ca="1" si="11"/>
        <v>151506.07155952655</v>
      </c>
      <c r="V17" s="123">
        <f t="shared" ca="1" si="11"/>
        <v>97500.853706312351</v>
      </c>
      <c r="W17" s="123">
        <f t="shared" ca="1" si="11"/>
        <v>41875.479317501718</v>
      </c>
    </row>
    <row r="18" spans="2:23" x14ac:dyDescent="0.2">
      <c r="B18" s="15" t="s">
        <v>162</v>
      </c>
      <c r="D18" s="8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</row>
    <row r="19" spans="2:23" x14ac:dyDescent="0.2">
      <c r="B19" s="2" t="s">
        <v>163</v>
      </c>
      <c r="D19" s="83">
        <f ca="1">D17-D18</f>
        <v>0</v>
      </c>
      <c r="E19" s="123">
        <f ca="1">SUM($E17:E17)-SUM($E18:E18)</f>
        <v>0</v>
      </c>
      <c r="F19" s="123">
        <f ca="1">SUM($E17:F17)-SUM($E18:F18)</f>
        <v>340516.58999999997</v>
      </c>
      <c r="G19" s="123">
        <f ca="1">SUM($E17:G17)-SUM($E18:G18)</f>
        <v>782423.53769999999</v>
      </c>
      <c r="H19" s="123">
        <f ca="1">SUM($E17:H17)-SUM($E18:H18)</f>
        <v>1304840.4938310001</v>
      </c>
      <c r="I19" s="123">
        <f ca="1">SUM($E17:I17)-SUM($E18:I18)</f>
        <v>1870068.70864593</v>
      </c>
      <c r="J19" s="123">
        <f ca="1">SUM($E17:J17)-SUM($E18:J18)</f>
        <v>2462908.3299053079</v>
      </c>
      <c r="K19" s="123">
        <f ca="1">SUM($E17:K17)-SUM($E18:K18)</f>
        <v>3054068.3598024668</v>
      </c>
      <c r="L19" s="123">
        <f ca="1">SUM($E17:L17)-SUM($E18:L18)</f>
        <v>3620081.250596541</v>
      </c>
      <c r="M19" s="123">
        <f ca="1">SUM($E17:M17)-SUM($E18:M18)</f>
        <v>4150687.3281144369</v>
      </c>
      <c r="N19" s="123">
        <f ca="1">SUM($E17:N17)-SUM($E18:N18)</f>
        <v>4638661.1879578698</v>
      </c>
      <c r="O19" s="123">
        <f ca="1">SUM($E17:O17)-SUM($E18:O18)</f>
        <v>5082723.8635966061</v>
      </c>
      <c r="P19" s="123">
        <f ca="1">SUM($E17:P17)-SUM($E18:P18)</f>
        <v>5481558.0195045043</v>
      </c>
      <c r="Q19" s="123">
        <f ca="1">SUM($E17:Q17)-SUM($E18:Q18)</f>
        <v>5833806.8000896396</v>
      </c>
      <c r="R19" s="123">
        <f ca="1">SUM($E17:R17)-SUM($E18:R18)</f>
        <v>6138072.6440923288</v>
      </c>
      <c r="S19" s="123">
        <f ca="1">SUM($E17:S17)-SUM($E18:S18)</f>
        <v>6392916.0634150989</v>
      </c>
      <c r="T19" s="123">
        <f ca="1">SUM($E17:T17)-SUM($E18:T18)</f>
        <v>6596854.3853175519</v>
      </c>
      <c r="U19" s="123">
        <f ca="1">SUM($E17:U17)-SUM($E18:U18)</f>
        <v>6748360.4568770789</v>
      </c>
      <c r="V19" s="123">
        <f ca="1">SUM($E17:V17)-SUM($E18:V18)</f>
        <v>6845861.3105833912</v>
      </c>
      <c r="W19" s="123">
        <f ca="1">SUM($E17:W17)-SUM($E18:W18)</f>
        <v>6887736.7899008933</v>
      </c>
    </row>
    <row r="20" spans="2:23" x14ac:dyDescent="0.2">
      <c r="B20" s="37" t="s">
        <v>159</v>
      </c>
      <c r="D20" s="83">
        <f ca="1">SUM(D12:D14)+D17-D18</f>
        <v>0</v>
      </c>
      <c r="E20" s="123">
        <f t="shared" ref="E20:W20" ca="1" si="12">SUM(E12:E14)+E17-E18</f>
        <v>11350553</v>
      </c>
      <c r="F20" s="123">
        <f t="shared" ca="1" si="12"/>
        <v>14730231.59</v>
      </c>
      <c r="G20" s="123">
        <f t="shared" ca="1" si="12"/>
        <v>17413898.537700001</v>
      </c>
      <c r="H20" s="123">
        <f t="shared" ca="1" si="12"/>
        <v>18840940.493831001</v>
      </c>
      <c r="I20" s="123">
        <f t="shared" ca="1" si="12"/>
        <v>19761320.708645932</v>
      </c>
      <c r="J20" s="123">
        <f t="shared" ca="1" si="12"/>
        <v>19705334.329905309</v>
      </c>
      <c r="K20" s="123">
        <f t="shared" ca="1" si="12"/>
        <v>18867096.35980247</v>
      </c>
      <c r="L20" s="123">
        <f t="shared" ca="1" si="12"/>
        <v>17686869.250596542</v>
      </c>
      <c r="M20" s="123">
        <f t="shared" ca="1" si="12"/>
        <v>16265795.328114439</v>
      </c>
      <c r="N20" s="123">
        <f t="shared" ca="1" si="12"/>
        <v>14802089.187957872</v>
      </c>
      <c r="O20" s="123">
        <f t="shared" ca="1" si="12"/>
        <v>13294471.863596607</v>
      </c>
      <c r="P20" s="123">
        <f t="shared" ca="1" si="12"/>
        <v>11741626.019504506</v>
      </c>
      <c r="Q20" s="123">
        <f t="shared" ca="1" si="12"/>
        <v>10142194.800089641</v>
      </c>
      <c r="R20" s="123">
        <f t="shared" ca="1" si="12"/>
        <v>8494780.6440923288</v>
      </c>
      <c r="S20" s="123">
        <f t="shared" ca="1" si="12"/>
        <v>6797944.0634150989</v>
      </c>
      <c r="T20" s="123">
        <f t="shared" ca="1" si="12"/>
        <v>5050202.3853175519</v>
      </c>
      <c r="U20" s="123">
        <f t="shared" ca="1" si="12"/>
        <v>3250028.4568770784</v>
      </c>
      <c r="V20" s="123">
        <f t="shared" ca="1" si="12"/>
        <v>1395849.3105833908</v>
      </c>
      <c r="W20" s="256">
        <f t="shared" ca="1" si="12"/>
        <v>6.5483618527650833E-11</v>
      </c>
    </row>
    <row r="22" spans="2:23" s="129" customFormat="1" x14ac:dyDescent="0.2">
      <c r="B22" s="129" t="s">
        <v>382</v>
      </c>
      <c r="D22" s="123">
        <f>+'Total Revenue &amp; Costs'!D28+D14</f>
        <v>0</v>
      </c>
      <c r="E22" s="123">
        <f>+'Total Revenue &amp; Costs'!E28+E14</f>
        <v>-11350552.845899059</v>
      </c>
      <c r="F22" s="123">
        <f ca="1">+'Total Revenue &amp; Costs'!F28+F14</f>
        <v>-3039161.8515645373</v>
      </c>
      <c r="G22" s="123">
        <f ca="1">+'Total Revenue &amp; Costs'!G28+G14</f>
        <v>-2241760.656875384</v>
      </c>
      <c r="H22" s="123">
        <f ca="1">+'Total Revenue &amp; Costs'!H28+H14</f>
        <v>-1315504.5267471792</v>
      </c>
      <c r="I22" s="123">
        <f ca="1">+'Total Revenue &amp; Costs'!I28+I14</f>
        <v>-1176911.6725676917</v>
      </c>
      <c r="J22" s="123">
        <f ca="1">+'Total Revenue &amp; Costs'!J28+J14</f>
        <v>-583814.07256769156</v>
      </c>
      <c r="K22" s="123">
        <f ca="1">+'Total Revenue &amp; Costs'!K28+K14</f>
        <v>-111402.87256769137</v>
      </c>
      <c r="L22" s="123">
        <f ca="1">+'Total Revenue &amp; Costs'!L28+L14</f>
        <v>190663.52743230853</v>
      </c>
      <c r="M22" s="123">
        <f ca="1">+'Total Revenue &amp; Costs'!M28+M14</f>
        <v>508822.92743230844</v>
      </c>
      <c r="N22" s="123">
        <f ca="1">+'Total Revenue &amp; Costs'!N28+N14</f>
        <v>604921.12743230863</v>
      </c>
      <c r="O22" s="123">
        <f ca="1">+'Total Revenue &amp; Costs'!O28+O14</f>
        <v>610745.260765641</v>
      </c>
      <c r="P22" s="123">
        <f ca="1">+'Total Revenue &amp; Costs'!P28+P14</f>
        <v>639865.92743230844</v>
      </c>
      <c r="Q22" s="123">
        <f ca="1">+'Total Revenue &amp; Costs'!Q28+Q14</f>
        <v>616569.39409897476</v>
      </c>
      <c r="R22" s="123">
        <f ca="1">+'Total Revenue &amp; Costs'!R28+R14</f>
        <v>574344.42743230844</v>
      </c>
      <c r="S22" s="123">
        <f ca="1">+'Total Revenue &amp; Costs'!S28+S14</f>
        <v>557642.86860877927</v>
      </c>
      <c r="T22" s="123">
        <f ca="1">+'Total Revenue &amp; Costs'!T28+T14</f>
        <v>542797.03854341898</v>
      </c>
      <c r="U22" s="123">
        <f ca="1">+'Total Revenue &amp; Costs'!U28+U14</f>
        <v>492729.92743230844</v>
      </c>
      <c r="V22" s="123">
        <f ca="1">+'Total Revenue &amp; Costs'!V28+V14</f>
        <v>500086.72743230872</v>
      </c>
      <c r="W22" s="123">
        <f ca="1">+'Total Revenue &amp; Costs'!W28+W14</f>
        <v>1014041.9375314163</v>
      </c>
    </row>
    <row r="23" spans="2:23" s="129" customFormat="1" x14ac:dyDescent="0.2">
      <c r="D23" s="123">
        <f>+D22</f>
        <v>0</v>
      </c>
      <c r="E23" s="123">
        <f>+E22+D23</f>
        <v>-11350552.845899059</v>
      </c>
      <c r="F23" s="123">
        <f t="shared" ref="F23:W23" ca="1" si="13">+F22+E23</f>
        <v>-14389714.697463596</v>
      </c>
      <c r="G23" s="123">
        <f t="shared" ca="1" si="13"/>
        <v>-16631475.354338981</v>
      </c>
      <c r="H23" s="123">
        <f t="shared" ca="1" si="13"/>
        <v>-17946979.881086159</v>
      </c>
      <c r="I23" s="123">
        <f t="shared" ca="1" si="13"/>
        <v>-19123891.553653851</v>
      </c>
      <c r="J23" s="123">
        <f t="shared" ca="1" si="13"/>
        <v>-19707705.626221541</v>
      </c>
      <c r="K23" s="238">
        <f t="shared" ca="1" si="13"/>
        <v>-19819108.498789232</v>
      </c>
      <c r="L23" s="123">
        <f t="shared" ca="1" si="13"/>
        <v>-19628444.971356925</v>
      </c>
      <c r="M23" s="123">
        <f t="shared" ca="1" si="13"/>
        <v>-19119622.043924615</v>
      </c>
      <c r="N23" s="123">
        <f t="shared" ca="1" si="13"/>
        <v>-18514700.916492306</v>
      </c>
      <c r="O23" s="123">
        <f t="shared" ca="1" si="13"/>
        <v>-17903955.655726664</v>
      </c>
      <c r="P23" s="123">
        <f t="shared" ca="1" si="13"/>
        <v>-17264089.728294354</v>
      </c>
      <c r="Q23" s="123">
        <f t="shared" ca="1" si="13"/>
        <v>-16647520.334195379</v>
      </c>
      <c r="R23" s="123">
        <f t="shared" ca="1" si="13"/>
        <v>-16073175.906763071</v>
      </c>
      <c r="S23" s="123">
        <f t="shared" ca="1" si="13"/>
        <v>-15515533.038154293</v>
      </c>
      <c r="T23" s="123">
        <f t="shared" ca="1" si="13"/>
        <v>-14972735.999610875</v>
      </c>
      <c r="U23" s="123">
        <f t="shared" ca="1" si="13"/>
        <v>-14480006.072178567</v>
      </c>
      <c r="V23" s="123">
        <f t="shared" ca="1" si="13"/>
        <v>-13979919.344746258</v>
      </c>
      <c r="W23" s="123">
        <f t="shared" ca="1" si="13"/>
        <v>-12965877.407214843</v>
      </c>
    </row>
    <row r="24" spans="2:23" s="129" customFormat="1" x14ac:dyDescent="0.2"/>
    <row r="25" spans="2:23" s="129" customFormat="1" x14ac:dyDescent="0.2">
      <c r="B25" s="129" t="s">
        <v>513</v>
      </c>
      <c r="C25" s="34">
        <f ca="1">SUM(D25:W25)</f>
        <v>7</v>
      </c>
      <c r="D25" s="123">
        <v>0</v>
      </c>
      <c r="E25" s="123">
        <f ca="1">+IF(E23=MIN($D23:$W23),1,IF(F25=1,1,0))</f>
        <v>1</v>
      </c>
      <c r="F25" s="123">
        <f ca="1">+IF(F23=MIN($D23:$W23),1,IF(G25=1,1,0))</f>
        <v>1</v>
      </c>
      <c r="G25" s="123">
        <f t="shared" ref="G25:W25" ca="1" si="14">+IF(G23=MIN($D23:$W23),1,IF(H25=1,1,0))</f>
        <v>1</v>
      </c>
      <c r="H25" s="123">
        <f t="shared" ca="1" si="14"/>
        <v>1</v>
      </c>
      <c r="I25" s="123">
        <f t="shared" ca="1" si="14"/>
        <v>1</v>
      </c>
      <c r="J25" s="123">
        <f t="shared" ca="1" si="14"/>
        <v>1</v>
      </c>
      <c r="K25" s="123">
        <f t="shared" ca="1" si="14"/>
        <v>1</v>
      </c>
      <c r="L25" s="123">
        <f t="shared" ca="1" si="14"/>
        <v>0</v>
      </c>
      <c r="M25" s="123">
        <f t="shared" ca="1" si="14"/>
        <v>0</v>
      </c>
      <c r="N25" s="123">
        <f t="shared" ca="1" si="14"/>
        <v>0</v>
      </c>
      <c r="O25" s="123">
        <f t="shared" ca="1" si="14"/>
        <v>0</v>
      </c>
      <c r="P25" s="123">
        <f t="shared" ca="1" si="14"/>
        <v>0</v>
      </c>
      <c r="Q25" s="123">
        <f t="shared" ca="1" si="14"/>
        <v>0</v>
      </c>
      <c r="R25" s="123">
        <f t="shared" ca="1" si="14"/>
        <v>0</v>
      </c>
      <c r="S25" s="123">
        <f t="shared" ca="1" si="14"/>
        <v>0</v>
      </c>
      <c r="T25" s="123">
        <f t="shared" ca="1" si="14"/>
        <v>0</v>
      </c>
      <c r="U25" s="123">
        <f t="shared" ca="1" si="14"/>
        <v>0</v>
      </c>
      <c r="V25" s="123">
        <f t="shared" ca="1" si="14"/>
        <v>0</v>
      </c>
      <c r="W25" s="123">
        <f t="shared" ca="1" si="14"/>
        <v>0</v>
      </c>
    </row>
    <row r="26" spans="2:23" s="129" customFormat="1" x14ac:dyDescent="0.2"/>
    <row r="28" spans="2:23" x14ac:dyDescent="0.2">
      <c r="C28" s="83"/>
      <c r="D28" s="83"/>
      <c r="E28" s="83"/>
      <c r="F28" s="83"/>
      <c r="G28" s="83"/>
      <c r="H28" s="83"/>
      <c r="I28" s="83"/>
      <c r="J28" s="83"/>
    </row>
    <row r="29" spans="2:23" x14ac:dyDescent="0.2">
      <c r="B29" s="2" t="s">
        <v>170</v>
      </c>
    </row>
    <row r="30" spans="2:23" x14ac:dyDescent="0.2">
      <c r="B30" s="2" t="s">
        <v>519</v>
      </c>
      <c r="C30" s="43">
        <v>0.05</v>
      </c>
    </row>
    <row r="31" spans="2:23" x14ac:dyDescent="0.2">
      <c r="B31" s="2" t="s">
        <v>164</v>
      </c>
      <c r="E31" s="83">
        <f>+D43</f>
        <v>0</v>
      </c>
      <c r="F31" s="83">
        <f t="shared" ref="F31:W31" si="15">+E43</f>
        <v>0</v>
      </c>
      <c r="G31" s="83">
        <f t="shared" si="15"/>
        <v>0</v>
      </c>
      <c r="H31" s="83">
        <f t="shared" si="15"/>
        <v>0</v>
      </c>
      <c r="I31" s="83">
        <f t="shared" si="15"/>
        <v>0</v>
      </c>
      <c r="J31" s="83">
        <f t="shared" si="15"/>
        <v>0</v>
      </c>
      <c r="K31" s="83">
        <f t="shared" si="15"/>
        <v>0</v>
      </c>
      <c r="L31" s="83">
        <f t="shared" si="15"/>
        <v>0</v>
      </c>
      <c r="M31" s="83">
        <f t="shared" si="15"/>
        <v>0</v>
      </c>
      <c r="N31" s="83">
        <f t="shared" si="15"/>
        <v>0</v>
      </c>
      <c r="O31" s="83">
        <f t="shared" si="15"/>
        <v>0</v>
      </c>
      <c r="P31" s="83">
        <f t="shared" si="15"/>
        <v>0</v>
      </c>
      <c r="Q31" s="83">
        <f t="shared" si="15"/>
        <v>0</v>
      </c>
      <c r="R31" s="83">
        <f t="shared" si="15"/>
        <v>0</v>
      </c>
      <c r="S31" s="83">
        <f t="shared" si="15"/>
        <v>0</v>
      </c>
      <c r="T31" s="83">
        <f t="shared" si="15"/>
        <v>0</v>
      </c>
      <c r="U31" s="83">
        <f t="shared" si="15"/>
        <v>0</v>
      </c>
      <c r="V31" s="83">
        <f t="shared" si="15"/>
        <v>0</v>
      </c>
      <c r="W31" s="83">
        <f t="shared" si="15"/>
        <v>0</v>
      </c>
    </row>
    <row r="32" spans="2:23" x14ac:dyDescent="0.2">
      <c r="B32" s="2" t="s">
        <v>149</v>
      </c>
      <c r="D32" s="8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</row>
    <row r="33" spans="2:23" x14ac:dyDescent="0.2">
      <c r="B33" s="2" t="s">
        <v>520</v>
      </c>
      <c r="D33" s="83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123">
        <v>0</v>
      </c>
    </row>
    <row r="34" spans="2:23" x14ac:dyDescent="0.2">
      <c r="B34" s="2" t="s">
        <v>171</v>
      </c>
      <c r="D34" s="8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</row>
    <row r="35" spans="2:23" x14ac:dyDescent="0.2">
      <c r="B35" s="2" t="s">
        <v>132</v>
      </c>
      <c r="D35" s="8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  <c r="O35" s="123">
        <v>0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</row>
    <row r="37" spans="2:23" x14ac:dyDescent="0.2">
      <c r="B37" s="2" t="s">
        <v>165</v>
      </c>
      <c r="D37" s="83">
        <f>SUM(D32:D36)</f>
        <v>0</v>
      </c>
      <c r="E37" s="83">
        <f t="shared" ref="E37:W37" si="16">SUM(E32:E36)</f>
        <v>0</v>
      </c>
      <c r="F37" s="83">
        <f t="shared" si="16"/>
        <v>0</v>
      </c>
      <c r="G37" s="83">
        <f t="shared" si="16"/>
        <v>0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 t="shared" si="16"/>
        <v>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0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</v>
      </c>
      <c r="U37" s="83">
        <f t="shared" si="16"/>
        <v>0</v>
      </c>
      <c r="V37" s="83">
        <f t="shared" si="16"/>
        <v>0</v>
      </c>
      <c r="W37" s="83">
        <f t="shared" si="16"/>
        <v>0</v>
      </c>
    </row>
    <row r="38" spans="2:23" x14ac:dyDescent="0.2">
      <c r="B38" s="2" t="s">
        <v>166</v>
      </c>
    </row>
    <row r="39" spans="2:23" x14ac:dyDescent="0.2">
      <c r="B39" s="2" t="s">
        <v>167</v>
      </c>
      <c r="D39" s="83">
        <f>+D31+D37-D38</f>
        <v>0</v>
      </c>
      <c r="E39" s="83">
        <f t="shared" ref="E39:W39" si="17">+E31+E37-E38</f>
        <v>0</v>
      </c>
      <c r="F39" s="83">
        <f t="shared" si="17"/>
        <v>0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>
        <f t="shared" si="17"/>
        <v>0</v>
      </c>
      <c r="M39" s="83">
        <f t="shared" si="17"/>
        <v>0</v>
      </c>
      <c r="N39" s="83">
        <f t="shared" si="17"/>
        <v>0</v>
      </c>
      <c r="O39" s="83">
        <f t="shared" si="17"/>
        <v>0</v>
      </c>
      <c r="P39" s="83">
        <f t="shared" si="17"/>
        <v>0</v>
      </c>
      <c r="Q39" s="83">
        <f t="shared" si="17"/>
        <v>0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</row>
    <row r="41" spans="2:23" x14ac:dyDescent="0.2">
      <c r="B41" s="2" t="s">
        <v>168</v>
      </c>
      <c r="C41" s="43">
        <f>+C30</f>
        <v>0.05</v>
      </c>
      <c r="D41" s="83">
        <f>SUM($D37:D37)*$C41</f>
        <v>0</v>
      </c>
      <c r="E41" s="83">
        <f>SUM($D37:E37)*$C41</f>
        <v>0</v>
      </c>
      <c r="F41" s="83">
        <f>SUM($D37:F37)*$C41</f>
        <v>0</v>
      </c>
      <c r="G41" s="83">
        <f>SUM($D37:G37)*$C41</f>
        <v>0</v>
      </c>
      <c r="H41" s="83">
        <f>SUM($D37:H37)*$C41</f>
        <v>0</v>
      </c>
      <c r="I41" s="83">
        <f>SUM($D37:I37)*$C41</f>
        <v>0</v>
      </c>
      <c r="J41" s="83">
        <f>SUM($D37:J37)*$C41</f>
        <v>0</v>
      </c>
      <c r="K41" s="83">
        <f>SUM($D37:K37)*$C41</f>
        <v>0</v>
      </c>
      <c r="L41" s="83">
        <f>SUM($D37:L37)*$C41</f>
        <v>0</v>
      </c>
      <c r="M41" s="83">
        <f>SUM($D37:M37)*$C41</f>
        <v>0</v>
      </c>
      <c r="N41" s="83">
        <f>SUM($D37:N37)*$C41</f>
        <v>0</v>
      </c>
      <c r="O41" s="83">
        <f>SUM($D37:O37)*$C41</f>
        <v>0</v>
      </c>
      <c r="P41" s="83">
        <f>SUM($D37:P37)*$C41</f>
        <v>0</v>
      </c>
      <c r="Q41" s="83">
        <f>SUM($D37:Q37)*$C41</f>
        <v>0</v>
      </c>
      <c r="R41" s="83">
        <f>SUM($D37:R37)*$C41</f>
        <v>0</v>
      </c>
      <c r="S41" s="83">
        <f>SUM($D37:S37)*$C41</f>
        <v>0</v>
      </c>
      <c r="T41" s="83">
        <f>SUM($D37:T37)*$C41</f>
        <v>0</v>
      </c>
      <c r="U41" s="83">
        <f>SUM($D37:U37)*$C41</f>
        <v>0</v>
      </c>
      <c r="V41" s="83">
        <f>SUM($D37:V37)*$C41</f>
        <v>0</v>
      </c>
      <c r="W41" s="83">
        <f>SUM($D37:W37)*$C41</f>
        <v>0</v>
      </c>
    </row>
    <row r="43" spans="2:23" x14ac:dyDescent="0.2">
      <c r="B43" s="41" t="s">
        <v>169</v>
      </c>
      <c r="D43" s="83">
        <f>+D39-D41</f>
        <v>0</v>
      </c>
      <c r="E43" s="83">
        <f t="shared" ref="E43:W43" si="18">+E39-E41</f>
        <v>0</v>
      </c>
      <c r="F43" s="83">
        <f t="shared" si="18"/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>
        <f t="shared" si="18"/>
        <v>0</v>
      </c>
      <c r="N43" s="83">
        <f t="shared" si="18"/>
        <v>0</v>
      </c>
      <c r="O43" s="83">
        <f t="shared" si="18"/>
        <v>0</v>
      </c>
      <c r="P43" s="83">
        <f t="shared" si="18"/>
        <v>0</v>
      </c>
      <c r="Q43" s="83">
        <f t="shared" si="18"/>
        <v>0</v>
      </c>
      <c r="R43" s="83">
        <f t="shared" si="18"/>
        <v>0</v>
      </c>
      <c r="S43" s="83">
        <f t="shared" si="18"/>
        <v>0</v>
      </c>
      <c r="T43" s="83">
        <f t="shared" si="18"/>
        <v>0</v>
      </c>
      <c r="U43" s="83">
        <f t="shared" si="18"/>
        <v>0</v>
      </c>
      <c r="V43" s="83">
        <f t="shared" si="18"/>
        <v>0</v>
      </c>
      <c r="W43" s="83">
        <f t="shared" si="18"/>
        <v>0</v>
      </c>
    </row>
    <row r="46" spans="2:23" x14ac:dyDescent="0.2">
      <c r="B46" s="2" t="s">
        <v>144</v>
      </c>
      <c r="C46" s="43">
        <v>0.1</v>
      </c>
    </row>
    <row r="47" spans="2:23" x14ac:dyDescent="0.2">
      <c r="B47" s="2" t="s">
        <v>164</v>
      </c>
      <c r="E47" s="83">
        <f>+D57</f>
        <v>0</v>
      </c>
      <c r="F47" s="83">
        <f t="shared" ref="F47:W47" si="19">+E57</f>
        <v>0</v>
      </c>
      <c r="G47" s="83">
        <f t="shared" si="19"/>
        <v>0</v>
      </c>
      <c r="H47" s="83">
        <f t="shared" si="19"/>
        <v>0</v>
      </c>
      <c r="I47" s="83">
        <f t="shared" si="19"/>
        <v>0</v>
      </c>
      <c r="J47" s="83">
        <f t="shared" si="19"/>
        <v>0</v>
      </c>
      <c r="K47" s="83">
        <f t="shared" si="19"/>
        <v>0</v>
      </c>
      <c r="L47" s="83">
        <f t="shared" si="19"/>
        <v>0</v>
      </c>
      <c r="M47" s="83">
        <f t="shared" si="19"/>
        <v>0</v>
      </c>
      <c r="N47" s="83">
        <f t="shared" si="19"/>
        <v>0</v>
      </c>
      <c r="O47" s="83">
        <f t="shared" si="19"/>
        <v>0</v>
      </c>
      <c r="P47" s="83">
        <f t="shared" si="19"/>
        <v>0</v>
      </c>
      <c r="Q47" s="83">
        <f t="shared" si="19"/>
        <v>0</v>
      </c>
      <c r="R47" s="83">
        <f t="shared" si="19"/>
        <v>0</v>
      </c>
      <c r="S47" s="83">
        <f t="shared" si="19"/>
        <v>0</v>
      </c>
      <c r="T47" s="83">
        <f t="shared" si="19"/>
        <v>0</v>
      </c>
      <c r="U47" s="83">
        <f t="shared" si="19"/>
        <v>0</v>
      </c>
      <c r="V47" s="83">
        <f t="shared" si="19"/>
        <v>0</v>
      </c>
      <c r="W47" s="83">
        <f t="shared" si="19"/>
        <v>0</v>
      </c>
    </row>
    <row r="48" spans="2:23" x14ac:dyDescent="0.2">
      <c r="B48" s="2" t="s">
        <v>131</v>
      </c>
      <c r="D48" s="8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</row>
    <row r="49" spans="2:23" x14ac:dyDescent="0.2">
      <c r="B49" s="2" t="s">
        <v>172</v>
      </c>
      <c r="D49" s="8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</row>
    <row r="51" spans="2:23" x14ac:dyDescent="0.2">
      <c r="B51" s="2" t="s">
        <v>165</v>
      </c>
      <c r="D51" s="83">
        <f t="shared" ref="D51:W51" si="20">SUM(D48:D50)</f>
        <v>0</v>
      </c>
      <c r="E51" s="83">
        <f t="shared" si="20"/>
        <v>0</v>
      </c>
      <c r="F51" s="83">
        <f t="shared" si="20"/>
        <v>0</v>
      </c>
      <c r="G51" s="83">
        <f t="shared" si="20"/>
        <v>0</v>
      </c>
      <c r="H51" s="83">
        <f t="shared" si="20"/>
        <v>0</v>
      </c>
      <c r="I51" s="83">
        <f t="shared" si="20"/>
        <v>0</v>
      </c>
      <c r="J51" s="83">
        <f t="shared" si="20"/>
        <v>0</v>
      </c>
      <c r="K51" s="83">
        <f t="shared" si="20"/>
        <v>0</v>
      </c>
      <c r="L51" s="83">
        <f t="shared" si="20"/>
        <v>0</v>
      </c>
      <c r="M51" s="83">
        <f t="shared" si="20"/>
        <v>0</v>
      </c>
      <c r="N51" s="83">
        <f t="shared" si="20"/>
        <v>0</v>
      </c>
      <c r="O51" s="83">
        <f t="shared" si="20"/>
        <v>0</v>
      </c>
      <c r="P51" s="83">
        <f t="shared" si="20"/>
        <v>0</v>
      </c>
      <c r="Q51" s="83">
        <f t="shared" si="20"/>
        <v>0</v>
      </c>
      <c r="R51" s="83">
        <f t="shared" si="20"/>
        <v>0</v>
      </c>
      <c r="S51" s="83">
        <f t="shared" si="20"/>
        <v>0</v>
      </c>
      <c r="T51" s="83">
        <f t="shared" si="20"/>
        <v>0</v>
      </c>
      <c r="U51" s="83">
        <f t="shared" si="20"/>
        <v>0</v>
      </c>
      <c r="V51" s="83">
        <f t="shared" si="20"/>
        <v>0</v>
      </c>
      <c r="W51" s="83">
        <f t="shared" si="20"/>
        <v>0</v>
      </c>
    </row>
    <row r="52" spans="2:23" x14ac:dyDescent="0.2">
      <c r="B52" s="2" t="s">
        <v>166</v>
      </c>
    </row>
    <row r="53" spans="2:23" x14ac:dyDescent="0.2">
      <c r="B53" s="2" t="s">
        <v>167</v>
      </c>
      <c r="D53" s="83">
        <f t="shared" ref="D53:W53" si="21">+D47+D51-D52</f>
        <v>0</v>
      </c>
      <c r="E53" s="83">
        <f t="shared" si="21"/>
        <v>0</v>
      </c>
      <c r="F53" s="83">
        <f t="shared" si="21"/>
        <v>0</v>
      </c>
      <c r="G53" s="83">
        <f t="shared" si="21"/>
        <v>0</v>
      </c>
      <c r="H53" s="83">
        <f t="shared" si="21"/>
        <v>0</v>
      </c>
      <c r="I53" s="83">
        <f t="shared" si="21"/>
        <v>0</v>
      </c>
      <c r="J53" s="83">
        <f t="shared" si="21"/>
        <v>0</v>
      </c>
      <c r="K53" s="83">
        <f t="shared" si="21"/>
        <v>0</v>
      </c>
      <c r="L53" s="83">
        <f t="shared" si="21"/>
        <v>0</v>
      </c>
      <c r="M53" s="83">
        <f t="shared" si="21"/>
        <v>0</v>
      </c>
      <c r="N53" s="83">
        <f t="shared" si="21"/>
        <v>0</v>
      </c>
      <c r="O53" s="83">
        <f t="shared" si="21"/>
        <v>0</v>
      </c>
      <c r="P53" s="83">
        <f t="shared" si="21"/>
        <v>0</v>
      </c>
      <c r="Q53" s="83">
        <f t="shared" si="21"/>
        <v>0</v>
      </c>
      <c r="R53" s="83">
        <f t="shared" si="21"/>
        <v>0</v>
      </c>
      <c r="S53" s="83">
        <f t="shared" si="21"/>
        <v>0</v>
      </c>
      <c r="T53" s="83">
        <f t="shared" si="21"/>
        <v>0</v>
      </c>
      <c r="U53" s="83">
        <f t="shared" si="21"/>
        <v>0</v>
      </c>
      <c r="V53" s="83">
        <f t="shared" si="21"/>
        <v>0</v>
      </c>
      <c r="W53" s="83">
        <f t="shared" si="21"/>
        <v>0</v>
      </c>
    </row>
    <row r="55" spans="2:23" x14ac:dyDescent="0.2">
      <c r="B55" s="2" t="s">
        <v>168</v>
      </c>
      <c r="C55" s="43">
        <f>+C46</f>
        <v>0.1</v>
      </c>
      <c r="D55" s="83">
        <f>+D53*$C55</f>
        <v>0</v>
      </c>
      <c r="E55" s="83">
        <f t="shared" ref="E55:W55" si="22">+E53*$C55</f>
        <v>0</v>
      </c>
      <c r="F55" s="83">
        <f t="shared" si="22"/>
        <v>0</v>
      </c>
      <c r="G55" s="83">
        <f t="shared" si="22"/>
        <v>0</v>
      </c>
      <c r="H55" s="83">
        <f t="shared" si="22"/>
        <v>0</v>
      </c>
      <c r="I55" s="83">
        <f t="shared" si="22"/>
        <v>0</v>
      </c>
      <c r="J55" s="83">
        <f t="shared" si="22"/>
        <v>0</v>
      </c>
      <c r="K55" s="83">
        <f>+K53*$C55</f>
        <v>0</v>
      </c>
      <c r="L55" s="83">
        <f t="shared" si="22"/>
        <v>0</v>
      </c>
      <c r="M55" s="83">
        <f t="shared" si="22"/>
        <v>0</v>
      </c>
      <c r="N55" s="83">
        <f t="shared" si="22"/>
        <v>0</v>
      </c>
      <c r="O55" s="83">
        <f t="shared" si="22"/>
        <v>0</v>
      </c>
      <c r="P55" s="83">
        <f t="shared" si="22"/>
        <v>0</v>
      </c>
      <c r="Q55" s="83">
        <f t="shared" si="22"/>
        <v>0</v>
      </c>
      <c r="R55" s="83">
        <f t="shared" si="22"/>
        <v>0</v>
      </c>
      <c r="S55" s="83">
        <f t="shared" si="22"/>
        <v>0</v>
      </c>
      <c r="T55" s="83">
        <f t="shared" si="22"/>
        <v>0</v>
      </c>
      <c r="U55" s="83">
        <f t="shared" si="22"/>
        <v>0</v>
      </c>
      <c r="V55" s="83">
        <f t="shared" si="22"/>
        <v>0</v>
      </c>
      <c r="W55" s="83">
        <f t="shared" si="22"/>
        <v>0</v>
      </c>
    </row>
    <row r="57" spans="2:23" x14ac:dyDescent="0.2">
      <c r="B57" s="41" t="s">
        <v>169</v>
      </c>
      <c r="D57" s="83">
        <f>+D53-D55</f>
        <v>0</v>
      </c>
      <c r="E57" s="83">
        <f t="shared" ref="E57:W57" si="23">+E53-E55</f>
        <v>0</v>
      </c>
      <c r="F57" s="83">
        <f t="shared" si="23"/>
        <v>0</v>
      </c>
      <c r="G57" s="83">
        <f t="shared" si="23"/>
        <v>0</v>
      </c>
      <c r="H57" s="83">
        <f t="shared" si="23"/>
        <v>0</v>
      </c>
      <c r="I57" s="83">
        <f t="shared" si="23"/>
        <v>0</v>
      </c>
      <c r="J57" s="83">
        <f t="shared" si="23"/>
        <v>0</v>
      </c>
      <c r="K57" s="83">
        <f t="shared" si="23"/>
        <v>0</v>
      </c>
      <c r="L57" s="83">
        <f t="shared" si="23"/>
        <v>0</v>
      </c>
      <c r="M57" s="83">
        <f t="shared" si="23"/>
        <v>0</v>
      </c>
      <c r="N57" s="83">
        <f t="shared" si="23"/>
        <v>0</v>
      </c>
      <c r="O57" s="83">
        <f t="shared" si="23"/>
        <v>0</v>
      </c>
      <c r="P57" s="83">
        <f t="shared" si="23"/>
        <v>0</v>
      </c>
      <c r="Q57" s="83">
        <f t="shared" si="23"/>
        <v>0</v>
      </c>
      <c r="R57" s="83">
        <f t="shared" si="23"/>
        <v>0</v>
      </c>
      <c r="S57" s="83">
        <f t="shared" si="23"/>
        <v>0</v>
      </c>
      <c r="T57" s="83">
        <f t="shared" si="23"/>
        <v>0</v>
      </c>
      <c r="U57" s="83">
        <f t="shared" si="23"/>
        <v>0</v>
      </c>
      <c r="V57" s="83">
        <f t="shared" si="23"/>
        <v>0</v>
      </c>
      <c r="W57" s="83">
        <f t="shared" si="23"/>
        <v>0</v>
      </c>
    </row>
    <row r="60" spans="2:23" x14ac:dyDescent="0.2">
      <c r="B60" s="2" t="s">
        <v>145</v>
      </c>
      <c r="C60" s="43">
        <v>0.2</v>
      </c>
    </row>
    <row r="61" spans="2:23" x14ac:dyDescent="0.2">
      <c r="B61" s="2" t="s">
        <v>164</v>
      </c>
      <c r="E61" s="83">
        <f>+D70</f>
        <v>0</v>
      </c>
      <c r="F61" s="83">
        <f t="shared" ref="F61:W61" si="24">+E70</f>
        <v>0</v>
      </c>
      <c r="G61" s="83">
        <f t="shared" si="24"/>
        <v>0</v>
      </c>
      <c r="H61" s="83">
        <f t="shared" si="24"/>
        <v>0</v>
      </c>
      <c r="I61" s="83">
        <f t="shared" si="24"/>
        <v>0</v>
      </c>
      <c r="J61" s="83">
        <f t="shared" si="24"/>
        <v>0</v>
      </c>
      <c r="K61" s="83">
        <f t="shared" si="24"/>
        <v>0</v>
      </c>
      <c r="L61" s="83">
        <f t="shared" si="24"/>
        <v>0</v>
      </c>
      <c r="M61" s="83">
        <f t="shared" si="24"/>
        <v>0</v>
      </c>
      <c r="N61" s="83">
        <f t="shared" si="24"/>
        <v>0</v>
      </c>
      <c r="O61" s="83">
        <f t="shared" si="24"/>
        <v>0</v>
      </c>
      <c r="P61" s="83">
        <f t="shared" si="24"/>
        <v>0</v>
      </c>
      <c r="Q61" s="83">
        <f t="shared" si="24"/>
        <v>0</v>
      </c>
      <c r="R61" s="83">
        <f t="shared" si="24"/>
        <v>0</v>
      </c>
      <c r="S61" s="83">
        <f t="shared" si="24"/>
        <v>0</v>
      </c>
      <c r="T61" s="83">
        <f t="shared" si="24"/>
        <v>0</v>
      </c>
      <c r="U61" s="83">
        <f t="shared" si="24"/>
        <v>0</v>
      </c>
      <c r="V61" s="83">
        <f t="shared" si="24"/>
        <v>0</v>
      </c>
      <c r="W61" s="83">
        <f t="shared" si="24"/>
        <v>0</v>
      </c>
    </row>
    <row r="62" spans="2:23" x14ac:dyDescent="0.2">
      <c r="B62" s="2" t="s">
        <v>145</v>
      </c>
      <c r="D62" s="83">
        <v>0</v>
      </c>
      <c r="E62" s="123">
        <v>0</v>
      </c>
      <c r="F62" s="123">
        <v>0</v>
      </c>
      <c r="G62" s="123">
        <v>0</v>
      </c>
      <c r="H62" s="123">
        <v>0</v>
      </c>
      <c r="I62" s="123">
        <v>0</v>
      </c>
      <c r="J62" s="123">
        <v>0</v>
      </c>
      <c r="K62" s="123">
        <v>0</v>
      </c>
      <c r="L62" s="123">
        <v>0</v>
      </c>
      <c r="M62" s="123">
        <v>0</v>
      </c>
      <c r="N62" s="123">
        <v>0</v>
      </c>
      <c r="O62" s="123">
        <v>0</v>
      </c>
      <c r="P62" s="123">
        <v>0</v>
      </c>
      <c r="Q62" s="123">
        <v>0</v>
      </c>
      <c r="R62" s="123">
        <v>0</v>
      </c>
      <c r="S62" s="123">
        <v>0</v>
      </c>
      <c r="T62" s="123">
        <v>0</v>
      </c>
      <c r="U62" s="123">
        <v>0</v>
      </c>
      <c r="V62" s="123">
        <v>0</v>
      </c>
      <c r="W62" s="123">
        <v>0</v>
      </c>
    </row>
    <row r="64" spans="2:23" x14ac:dyDescent="0.2">
      <c r="B64" s="2" t="s">
        <v>165</v>
      </c>
      <c r="D64" s="83">
        <f t="shared" ref="D64:W64" si="25">SUM(D62:D63)</f>
        <v>0</v>
      </c>
      <c r="E64" s="83">
        <f t="shared" si="25"/>
        <v>0</v>
      </c>
      <c r="F64" s="83">
        <f t="shared" si="25"/>
        <v>0</v>
      </c>
      <c r="G64" s="83">
        <f t="shared" si="25"/>
        <v>0</v>
      </c>
      <c r="H64" s="83">
        <f t="shared" si="25"/>
        <v>0</v>
      </c>
      <c r="I64" s="83">
        <f t="shared" si="25"/>
        <v>0</v>
      </c>
      <c r="J64" s="83">
        <f t="shared" si="25"/>
        <v>0</v>
      </c>
      <c r="K64" s="83">
        <f t="shared" si="25"/>
        <v>0</v>
      </c>
      <c r="L64" s="83">
        <f t="shared" si="25"/>
        <v>0</v>
      </c>
      <c r="M64" s="83">
        <f t="shared" si="25"/>
        <v>0</v>
      </c>
      <c r="N64" s="83">
        <f t="shared" si="25"/>
        <v>0</v>
      </c>
      <c r="O64" s="83">
        <f t="shared" si="25"/>
        <v>0</v>
      </c>
      <c r="P64" s="83">
        <f t="shared" si="25"/>
        <v>0</v>
      </c>
      <c r="Q64" s="83">
        <f t="shared" si="25"/>
        <v>0</v>
      </c>
      <c r="R64" s="83">
        <f t="shared" si="25"/>
        <v>0</v>
      </c>
      <c r="S64" s="83">
        <f t="shared" si="25"/>
        <v>0</v>
      </c>
      <c r="T64" s="83">
        <f t="shared" si="25"/>
        <v>0</v>
      </c>
      <c r="U64" s="83">
        <f t="shared" si="25"/>
        <v>0</v>
      </c>
      <c r="V64" s="83">
        <f t="shared" si="25"/>
        <v>0</v>
      </c>
      <c r="W64" s="83">
        <f t="shared" si="25"/>
        <v>0</v>
      </c>
    </row>
    <row r="65" spans="2:23" x14ac:dyDescent="0.2">
      <c r="B65" s="2" t="s">
        <v>166</v>
      </c>
    </row>
    <row r="66" spans="2:23" x14ac:dyDescent="0.2">
      <c r="B66" s="2" t="s">
        <v>167</v>
      </c>
      <c r="D66" s="83">
        <f t="shared" ref="D66:W66" si="26">+D61+D64-D65</f>
        <v>0</v>
      </c>
      <c r="E66" s="83">
        <f t="shared" si="26"/>
        <v>0</v>
      </c>
      <c r="F66" s="83">
        <f t="shared" si="26"/>
        <v>0</v>
      </c>
      <c r="G66" s="83">
        <f t="shared" si="26"/>
        <v>0</v>
      </c>
      <c r="H66" s="83">
        <f t="shared" si="26"/>
        <v>0</v>
      </c>
      <c r="I66" s="83">
        <f t="shared" si="26"/>
        <v>0</v>
      </c>
      <c r="J66" s="83">
        <f t="shared" si="26"/>
        <v>0</v>
      </c>
      <c r="K66" s="83">
        <f t="shared" si="26"/>
        <v>0</v>
      </c>
      <c r="L66" s="83">
        <f t="shared" si="26"/>
        <v>0</v>
      </c>
      <c r="M66" s="83">
        <f t="shared" si="26"/>
        <v>0</v>
      </c>
      <c r="N66" s="83">
        <f t="shared" si="26"/>
        <v>0</v>
      </c>
      <c r="O66" s="83">
        <f t="shared" si="26"/>
        <v>0</v>
      </c>
      <c r="P66" s="83">
        <f t="shared" si="26"/>
        <v>0</v>
      </c>
      <c r="Q66" s="83">
        <f t="shared" si="26"/>
        <v>0</v>
      </c>
      <c r="R66" s="83">
        <f t="shared" si="26"/>
        <v>0</v>
      </c>
      <c r="S66" s="83">
        <f t="shared" si="26"/>
        <v>0</v>
      </c>
      <c r="T66" s="83">
        <f t="shared" si="26"/>
        <v>0</v>
      </c>
      <c r="U66" s="83">
        <f t="shared" si="26"/>
        <v>0</v>
      </c>
      <c r="V66" s="83">
        <f t="shared" si="26"/>
        <v>0</v>
      </c>
      <c r="W66" s="83">
        <f t="shared" si="26"/>
        <v>0</v>
      </c>
    </row>
    <row r="68" spans="2:23" x14ac:dyDescent="0.2">
      <c r="B68" s="2" t="s">
        <v>168</v>
      </c>
      <c r="C68" s="43">
        <f>+C60</f>
        <v>0.2</v>
      </c>
      <c r="D68" s="83">
        <f>SUM($D64:D64)*$C68</f>
        <v>0</v>
      </c>
      <c r="E68" s="83">
        <f>SUM($D64:E64)*$C68</f>
        <v>0</v>
      </c>
      <c r="F68" s="83">
        <f>SUM($D64:F64)*$C68</f>
        <v>0</v>
      </c>
      <c r="G68" s="83">
        <f>SUM($D64:G64)*$C68</f>
        <v>0</v>
      </c>
      <c r="H68" s="83">
        <f>SUM(D64:H64)*$C68</f>
        <v>0</v>
      </c>
      <c r="I68" s="83">
        <f t="shared" ref="I68:W68" si="27">SUM(E64:I64)*$C68</f>
        <v>0</v>
      </c>
      <c r="J68" s="83">
        <f t="shared" si="27"/>
        <v>0</v>
      </c>
      <c r="K68" s="83">
        <f t="shared" si="27"/>
        <v>0</v>
      </c>
      <c r="L68" s="83">
        <f t="shared" si="27"/>
        <v>0</v>
      </c>
      <c r="M68" s="83">
        <f t="shared" si="27"/>
        <v>0</v>
      </c>
      <c r="N68" s="83">
        <f t="shared" si="27"/>
        <v>0</v>
      </c>
      <c r="O68" s="83">
        <f t="shared" si="27"/>
        <v>0</v>
      </c>
      <c r="P68" s="83">
        <f t="shared" si="27"/>
        <v>0</v>
      </c>
      <c r="Q68" s="83">
        <f t="shared" si="27"/>
        <v>0</v>
      </c>
      <c r="R68" s="83">
        <f t="shared" si="27"/>
        <v>0</v>
      </c>
      <c r="S68" s="83">
        <f t="shared" si="27"/>
        <v>0</v>
      </c>
      <c r="T68" s="83">
        <f t="shared" si="27"/>
        <v>0</v>
      </c>
      <c r="U68" s="83">
        <f t="shared" si="27"/>
        <v>0</v>
      </c>
      <c r="V68" s="83">
        <f t="shared" si="27"/>
        <v>0</v>
      </c>
      <c r="W68" s="83">
        <f t="shared" si="27"/>
        <v>0</v>
      </c>
    </row>
    <row r="70" spans="2:23" x14ac:dyDescent="0.2">
      <c r="B70" s="41" t="s">
        <v>169</v>
      </c>
      <c r="D70" s="83">
        <f>+D66-D68</f>
        <v>0</v>
      </c>
      <c r="E70" s="83">
        <f t="shared" ref="E70:W70" si="28">+E66-E68</f>
        <v>0</v>
      </c>
      <c r="F70" s="83">
        <f t="shared" si="28"/>
        <v>0</v>
      </c>
      <c r="G70" s="83">
        <f t="shared" si="28"/>
        <v>0</v>
      </c>
      <c r="H70" s="83">
        <f t="shared" si="28"/>
        <v>0</v>
      </c>
      <c r="I70" s="83">
        <f t="shared" si="28"/>
        <v>0</v>
      </c>
      <c r="J70" s="83">
        <f t="shared" si="28"/>
        <v>0</v>
      </c>
      <c r="K70" s="83">
        <f t="shared" si="28"/>
        <v>0</v>
      </c>
      <c r="L70" s="83">
        <f t="shared" si="28"/>
        <v>0</v>
      </c>
      <c r="M70" s="83">
        <f t="shared" si="28"/>
        <v>0</v>
      </c>
      <c r="N70" s="83">
        <f t="shared" si="28"/>
        <v>0</v>
      </c>
      <c r="O70" s="83">
        <f t="shared" si="28"/>
        <v>0</v>
      </c>
      <c r="P70" s="83">
        <f t="shared" si="28"/>
        <v>0</v>
      </c>
      <c r="Q70" s="83">
        <f t="shared" si="28"/>
        <v>0</v>
      </c>
      <c r="R70" s="83">
        <f t="shared" si="28"/>
        <v>0</v>
      </c>
      <c r="S70" s="83">
        <f t="shared" si="28"/>
        <v>0</v>
      </c>
      <c r="T70" s="83">
        <f t="shared" si="28"/>
        <v>0</v>
      </c>
      <c r="U70" s="83">
        <f t="shared" si="28"/>
        <v>0</v>
      </c>
      <c r="V70" s="83">
        <f t="shared" si="28"/>
        <v>0</v>
      </c>
      <c r="W70" s="83">
        <f t="shared" si="28"/>
        <v>0</v>
      </c>
    </row>
    <row r="73" spans="2:23" x14ac:dyDescent="0.2">
      <c r="B73" s="70" t="s">
        <v>371</v>
      </c>
      <c r="C73" s="43">
        <v>0.33333333333333298</v>
      </c>
    </row>
    <row r="74" spans="2:23" x14ac:dyDescent="0.2">
      <c r="B74" s="2" t="s">
        <v>164</v>
      </c>
      <c r="E74" s="83">
        <f>+D83</f>
        <v>0</v>
      </c>
      <c r="F74" s="83">
        <f t="shared" ref="F74:W74" si="29">+E83</f>
        <v>0</v>
      </c>
      <c r="G74" s="83">
        <f t="shared" si="29"/>
        <v>0</v>
      </c>
      <c r="H74" s="83">
        <f t="shared" si="29"/>
        <v>0</v>
      </c>
      <c r="I74" s="83">
        <f t="shared" si="29"/>
        <v>0</v>
      </c>
      <c r="J74" s="83">
        <f t="shared" si="29"/>
        <v>0</v>
      </c>
      <c r="K74" s="83">
        <f t="shared" si="29"/>
        <v>0</v>
      </c>
      <c r="L74" s="83">
        <f t="shared" si="29"/>
        <v>0</v>
      </c>
      <c r="M74" s="83">
        <f t="shared" si="29"/>
        <v>0</v>
      </c>
      <c r="N74" s="83">
        <f t="shared" si="29"/>
        <v>0</v>
      </c>
      <c r="O74" s="83">
        <f t="shared" si="29"/>
        <v>0</v>
      </c>
      <c r="P74" s="83">
        <f t="shared" si="29"/>
        <v>0</v>
      </c>
      <c r="Q74" s="83">
        <f t="shared" si="29"/>
        <v>0</v>
      </c>
      <c r="R74" s="83">
        <f t="shared" si="29"/>
        <v>0</v>
      </c>
      <c r="S74" s="83">
        <f t="shared" si="29"/>
        <v>0</v>
      </c>
      <c r="T74" s="83">
        <f t="shared" si="29"/>
        <v>0</v>
      </c>
      <c r="U74" s="83">
        <f t="shared" si="29"/>
        <v>0</v>
      </c>
      <c r="V74" s="83">
        <f t="shared" si="29"/>
        <v>0</v>
      </c>
      <c r="W74" s="83">
        <f t="shared" si="29"/>
        <v>0</v>
      </c>
    </row>
    <row r="75" spans="2:23" x14ac:dyDescent="0.2">
      <c r="B75" s="70" t="s">
        <v>371</v>
      </c>
      <c r="D75" s="8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</row>
    <row r="77" spans="2:23" x14ac:dyDescent="0.2">
      <c r="B77" s="2" t="s">
        <v>165</v>
      </c>
      <c r="D77" s="83">
        <f t="shared" ref="D77:W77" si="30">SUM(D75:D76)</f>
        <v>0</v>
      </c>
      <c r="E77" s="83">
        <f t="shared" si="30"/>
        <v>0</v>
      </c>
      <c r="F77" s="83">
        <f t="shared" si="30"/>
        <v>0</v>
      </c>
      <c r="G77" s="83">
        <f t="shared" si="30"/>
        <v>0</v>
      </c>
      <c r="H77" s="83">
        <f t="shared" si="30"/>
        <v>0</v>
      </c>
      <c r="I77" s="83">
        <f t="shared" si="30"/>
        <v>0</v>
      </c>
      <c r="J77" s="83">
        <f t="shared" si="30"/>
        <v>0</v>
      </c>
      <c r="K77" s="83">
        <f t="shared" si="30"/>
        <v>0</v>
      </c>
      <c r="L77" s="83">
        <f t="shared" si="30"/>
        <v>0</v>
      </c>
      <c r="M77" s="83">
        <f t="shared" si="30"/>
        <v>0</v>
      </c>
      <c r="N77" s="83">
        <f t="shared" si="30"/>
        <v>0</v>
      </c>
      <c r="O77" s="83">
        <f t="shared" si="30"/>
        <v>0</v>
      </c>
      <c r="P77" s="83">
        <f t="shared" si="30"/>
        <v>0</v>
      </c>
      <c r="Q77" s="83">
        <f t="shared" si="30"/>
        <v>0</v>
      </c>
      <c r="R77" s="83">
        <f t="shared" si="30"/>
        <v>0</v>
      </c>
      <c r="S77" s="83">
        <f t="shared" si="30"/>
        <v>0</v>
      </c>
      <c r="T77" s="83">
        <f t="shared" si="30"/>
        <v>0</v>
      </c>
      <c r="U77" s="83">
        <f t="shared" si="30"/>
        <v>0</v>
      </c>
      <c r="V77" s="83">
        <f t="shared" si="30"/>
        <v>0</v>
      </c>
      <c r="W77" s="83">
        <f t="shared" si="30"/>
        <v>0</v>
      </c>
    </row>
    <row r="78" spans="2:23" x14ac:dyDescent="0.2">
      <c r="B78" s="2" t="s">
        <v>166</v>
      </c>
    </row>
    <row r="79" spans="2:23" x14ac:dyDescent="0.2">
      <c r="B79" s="2" t="s">
        <v>167</v>
      </c>
      <c r="D79" s="83">
        <f t="shared" ref="D79:W79" si="31">+D74+D77-D78</f>
        <v>0</v>
      </c>
      <c r="E79" s="83">
        <f t="shared" si="31"/>
        <v>0</v>
      </c>
      <c r="F79" s="83">
        <f t="shared" si="31"/>
        <v>0</v>
      </c>
      <c r="G79" s="83">
        <f t="shared" si="31"/>
        <v>0</v>
      </c>
      <c r="H79" s="83">
        <f t="shared" si="31"/>
        <v>0</v>
      </c>
      <c r="I79" s="83">
        <f t="shared" si="31"/>
        <v>0</v>
      </c>
      <c r="J79" s="83">
        <f t="shared" si="31"/>
        <v>0</v>
      </c>
      <c r="K79" s="83">
        <f t="shared" si="31"/>
        <v>0</v>
      </c>
      <c r="L79" s="83">
        <f t="shared" si="31"/>
        <v>0</v>
      </c>
      <c r="M79" s="83">
        <f t="shared" si="31"/>
        <v>0</v>
      </c>
      <c r="N79" s="83">
        <f t="shared" si="31"/>
        <v>0</v>
      </c>
      <c r="O79" s="83">
        <f t="shared" si="31"/>
        <v>0</v>
      </c>
      <c r="P79" s="83">
        <f t="shared" si="31"/>
        <v>0</v>
      </c>
      <c r="Q79" s="83">
        <f t="shared" si="31"/>
        <v>0</v>
      </c>
      <c r="R79" s="83">
        <f t="shared" si="31"/>
        <v>0</v>
      </c>
      <c r="S79" s="83">
        <f t="shared" si="31"/>
        <v>0</v>
      </c>
      <c r="T79" s="83">
        <f t="shared" si="31"/>
        <v>0</v>
      </c>
      <c r="U79" s="83">
        <f t="shared" si="31"/>
        <v>0</v>
      </c>
      <c r="V79" s="83">
        <f t="shared" si="31"/>
        <v>0</v>
      </c>
      <c r="W79" s="83">
        <f t="shared" si="31"/>
        <v>0</v>
      </c>
    </row>
    <row r="81" spans="2:23" x14ac:dyDescent="0.2">
      <c r="B81" s="2" t="s">
        <v>168</v>
      </c>
      <c r="C81" s="43">
        <f>+C73</f>
        <v>0.33333333333333298</v>
      </c>
      <c r="D81" s="83">
        <f>SUM($D77:D77)*$C81</f>
        <v>0</v>
      </c>
      <c r="E81" s="83">
        <f>SUM($D77:E77)*$C81</f>
        <v>0</v>
      </c>
      <c r="F81" s="83">
        <f>SUM(D77:F77)*$C81</f>
        <v>0</v>
      </c>
      <c r="G81" s="83">
        <f t="shared" ref="G81:W81" si="32">SUM(E77:G77)*$C81</f>
        <v>0</v>
      </c>
      <c r="H81" s="83">
        <f t="shared" si="32"/>
        <v>0</v>
      </c>
      <c r="I81" s="83">
        <f t="shared" si="32"/>
        <v>0</v>
      </c>
      <c r="J81" s="83">
        <f t="shared" si="32"/>
        <v>0</v>
      </c>
      <c r="K81" s="83">
        <f t="shared" si="32"/>
        <v>0</v>
      </c>
      <c r="L81" s="83">
        <f t="shared" si="32"/>
        <v>0</v>
      </c>
      <c r="M81" s="83">
        <f t="shared" si="32"/>
        <v>0</v>
      </c>
      <c r="N81" s="83">
        <f t="shared" si="32"/>
        <v>0</v>
      </c>
      <c r="O81" s="83">
        <f t="shared" si="32"/>
        <v>0</v>
      </c>
      <c r="P81" s="83">
        <f t="shared" si="32"/>
        <v>0</v>
      </c>
      <c r="Q81" s="83">
        <f t="shared" si="32"/>
        <v>0</v>
      </c>
      <c r="R81" s="83">
        <f t="shared" si="32"/>
        <v>0</v>
      </c>
      <c r="S81" s="83">
        <f t="shared" si="32"/>
        <v>0</v>
      </c>
      <c r="T81" s="83">
        <f t="shared" si="32"/>
        <v>0</v>
      </c>
      <c r="U81" s="83">
        <f t="shared" si="32"/>
        <v>0</v>
      </c>
      <c r="V81" s="83">
        <f t="shared" si="32"/>
        <v>0</v>
      </c>
      <c r="W81" s="83">
        <f t="shared" si="32"/>
        <v>0</v>
      </c>
    </row>
    <row r="83" spans="2:23" x14ac:dyDescent="0.2">
      <c r="B83" s="41" t="s">
        <v>169</v>
      </c>
      <c r="D83" s="83">
        <f>+D79-D81</f>
        <v>0</v>
      </c>
      <c r="E83" s="83">
        <f t="shared" ref="E83:W83" si="33">+E79-E81</f>
        <v>0</v>
      </c>
      <c r="F83" s="83">
        <f t="shared" si="33"/>
        <v>0</v>
      </c>
      <c r="G83" s="83">
        <f t="shared" si="33"/>
        <v>0</v>
      </c>
      <c r="H83" s="83">
        <f t="shared" si="33"/>
        <v>0</v>
      </c>
      <c r="I83" s="83">
        <f t="shared" si="33"/>
        <v>0</v>
      </c>
      <c r="J83" s="83">
        <f t="shared" si="33"/>
        <v>0</v>
      </c>
      <c r="K83" s="83">
        <f t="shared" si="33"/>
        <v>0</v>
      </c>
      <c r="L83" s="83">
        <f t="shared" si="33"/>
        <v>0</v>
      </c>
      <c r="M83" s="83">
        <f t="shared" si="33"/>
        <v>0</v>
      </c>
      <c r="N83" s="83">
        <f t="shared" si="33"/>
        <v>0</v>
      </c>
      <c r="O83" s="83">
        <f t="shared" si="33"/>
        <v>0</v>
      </c>
      <c r="P83" s="83">
        <f t="shared" si="33"/>
        <v>0</v>
      </c>
      <c r="Q83" s="83">
        <f t="shared" si="33"/>
        <v>0</v>
      </c>
      <c r="R83" s="83">
        <f t="shared" si="33"/>
        <v>0</v>
      </c>
      <c r="S83" s="83">
        <f t="shared" si="33"/>
        <v>0</v>
      </c>
      <c r="T83" s="83">
        <f t="shared" si="33"/>
        <v>0</v>
      </c>
      <c r="U83" s="83">
        <f t="shared" si="33"/>
        <v>0</v>
      </c>
      <c r="V83" s="83">
        <f t="shared" si="33"/>
        <v>0</v>
      </c>
      <c r="W83" s="83">
        <f t="shared" si="33"/>
        <v>0</v>
      </c>
    </row>
    <row r="87" spans="2:23" ht="25.5" x14ac:dyDescent="0.2">
      <c r="B87" s="69" t="s">
        <v>173</v>
      </c>
      <c r="C87" s="43">
        <v>0.05</v>
      </c>
    </row>
    <row r="88" spans="2:23" x14ac:dyDescent="0.2">
      <c r="B88" s="2" t="s">
        <v>164</v>
      </c>
      <c r="E88" s="83">
        <f>+D97</f>
        <v>0</v>
      </c>
      <c r="F88" s="83">
        <f t="shared" ref="F88:W88" si="34">+E97</f>
        <v>9802750.1850946415</v>
      </c>
      <c r="G88" s="83">
        <f t="shared" si="34"/>
        <v>11911546.654814059</v>
      </c>
      <c r="H88" s="83">
        <f t="shared" si="34"/>
        <v>13193534.735867182</v>
      </c>
      <c r="I88" s="83">
        <f t="shared" si="34"/>
        <v>13897406.650436457</v>
      </c>
      <c r="J88" s="83">
        <f t="shared" si="34"/>
        <v>13064596.389174964</v>
      </c>
      <c r="K88" s="83">
        <f t="shared" si="34"/>
        <v>12231786.127913471</v>
      </c>
      <c r="L88" s="83">
        <f t="shared" si="34"/>
        <v>11398975.866651978</v>
      </c>
      <c r="M88" s="83">
        <f t="shared" si="34"/>
        <v>10566165.605390485</v>
      </c>
      <c r="N88" s="83">
        <f t="shared" si="34"/>
        <v>9733355.3441289924</v>
      </c>
      <c r="O88" s="83">
        <f t="shared" si="34"/>
        <v>8900545.0828674994</v>
      </c>
      <c r="P88" s="83">
        <f t="shared" si="34"/>
        <v>8067734.8216060074</v>
      </c>
      <c r="Q88" s="83">
        <f t="shared" si="34"/>
        <v>7234924.5603445154</v>
      </c>
      <c r="R88" s="83">
        <f t="shared" si="34"/>
        <v>6402114.2990830233</v>
      </c>
      <c r="S88" s="83">
        <f t="shared" si="34"/>
        <v>5569304.0378215313</v>
      </c>
      <c r="T88" s="83">
        <f t="shared" si="34"/>
        <v>4736493.7765600393</v>
      </c>
      <c r="U88" s="83">
        <f t="shared" si="34"/>
        <v>3903683.5152985472</v>
      </c>
      <c r="V88" s="83">
        <f t="shared" si="34"/>
        <v>3070873.2540370552</v>
      </c>
      <c r="W88" s="83">
        <f t="shared" si="34"/>
        <v>2238062.9927755632</v>
      </c>
    </row>
    <row r="89" spans="2:23" x14ac:dyDescent="0.2">
      <c r="B89" s="70" t="s">
        <v>174</v>
      </c>
      <c r="D89" s="83">
        <f>+'Total Revenue &amp; Costs'!D17</f>
        <v>0</v>
      </c>
      <c r="E89" s="123">
        <f>+'Total Revenue &amp; Costs'!E17</f>
        <v>10318684.405362781</v>
      </c>
      <c r="F89" s="123">
        <f>+'Total Revenue &amp; Costs'!F17</f>
        <v>2762874.4105132157</v>
      </c>
      <c r="G89" s="123">
        <f>+'Total Revenue &amp; Costs'!G17</f>
        <v>2037964.2335230764</v>
      </c>
      <c r="H89" s="123">
        <f>+'Total Revenue &amp; Costs'!H17</f>
        <v>1536682.1758307689</v>
      </c>
      <c r="I89" s="123">
        <f>+'Total Revenue &amp; Costs'!I17</f>
        <v>0</v>
      </c>
      <c r="J89" s="123">
        <f>+'Total Revenue &amp; Costs'!J17</f>
        <v>0</v>
      </c>
      <c r="K89" s="123">
        <f>+'Total Revenue &amp; Costs'!K17</f>
        <v>0</v>
      </c>
      <c r="L89" s="123">
        <f>+'Total Revenue &amp; Costs'!L17</f>
        <v>0</v>
      </c>
      <c r="M89" s="123">
        <f>+'Total Revenue &amp; Costs'!M17</f>
        <v>0</v>
      </c>
      <c r="N89" s="123">
        <f>+'Total Revenue &amp; Costs'!N17</f>
        <v>0</v>
      </c>
      <c r="O89" s="123">
        <f>+'Total Revenue &amp; Costs'!O17</f>
        <v>0</v>
      </c>
      <c r="P89" s="123">
        <f>+'Total Revenue &amp; Costs'!P17</f>
        <v>0</v>
      </c>
      <c r="Q89" s="123">
        <f>+'Total Revenue &amp; Costs'!Q17</f>
        <v>0</v>
      </c>
      <c r="R89" s="123">
        <f>+'Total Revenue &amp; Costs'!R17</f>
        <v>0</v>
      </c>
      <c r="S89" s="123">
        <f>+'Total Revenue &amp; Costs'!S17</f>
        <v>0</v>
      </c>
      <c r="T89" s="123">
        <f>+'Total Revenue &amp; Costs'!T17</f>
        <v>0</v>
      </c>
      <c r="U89" s="123">
        <f>+'Total Revenue &amp; Costs'!U17</f>
        <v>0</v>
      </c>
      <c r="V89" s="123">
        <f>+'Total Revenue &amp; Costs'!V17</f>
        <v>0</v>
      </c>
      <c r="W89" s="123">
        <f>+'Total Revenue &amp; Costs'!W17</f>
        <v>0</v>
      </c>
    </row>
    <row r="91" spans="2:23" x14ac:dyDescent="0.2">
      <c r="B91" s="2" t="s">
        <v>165</v>
      </c>
      <c r="D91" s="83">
        <f t="shared" ref="D91:W91" si="35">SUM(D89:D90)</f>
        <v>0</v>
      </c>
      <c r="E91" s="83">
        <f t="shared" si="35"/>
        <v>10318684.405362781</v>
      </c>
      <c r="F91" s="83">
        <f t="shared" si="35"/>
        <v>2762874.4105132157</v>
      </c>
      <c r="G91" s="83">
        <f t="shared" si="35"/>
        <v>2037964.2335230764</v>
      </c>
      <c r="H91" s="83">
        <f t="shared" si="35"/>
        <v>1536682.1758307689</v>
      </c>
      <c r="I91" s="83">
        <f t="shared" si="35"/>
        <v>0</v>
      </c>
      <c r="J91" s="83">
        <f t="shared" si="35"/>
        <v>0</v>
      </c>
      <c r="K91" s="83">
        <f t="shared" si="35"/>
        <v>0</v>
      </c>
      <c r="L91" s="83">
        <f t="shared" si="35"/>
        <v>0</v>
      </c>
      <c r="M91" s="83">
        <f t="shared" si="35"/>
        <v>0</v>
      </c>
      <c r="N91" s="83">
        <f t="shared" si="35"/>
        <v>0</v>
      </c>
      <c r="O91" s="83">
        <f t="shared" si="35"/>
        <v>0</v>
      </c>
      <c r="P91" s="83">
        <f t="shared" si="35"/>
        <v>0</v>
      </c>
      <c r="Q91" s="83">
        <f t="shared" si="35"/>
        <v>0</v>
      </c>
      <c r="R91" s="83">
        <f t="shared" si="35"/>
        <v>0</v>
      </c>
      <c r="S91" s="83">
        <f t="shared" si="35"/>
        <v>0</v>
      </c>
      <c r="T91" s="83">
        <f t="shared" si="35"/>
        <v>0</v>
      </c>
      <c r="U91" s="83">
        <f t="shared" si="35"/>
        <v>0</v>
      </c>
      <c r="V91" s="83">
        <f t="shared" si="35"/>
        <v>0</v>
      </c>
      <c r="W91" s="83">
        <f t="shared" si="35"/>
        <v>0</v>
      </c>
    </row>
    <row r="92" spans="2:23" x14ac:dyDescent="0.2">
      <c r="B92" s="2" t="s">
        <v>166</v>
      </c>
    </row>
    <row r="93" spans="2:23" x14ac:dyDescent="0.2">
      <c r="B93" s="2" t="s">
        <v>167</v>
      </c>
      <c r="D93" s="83">
        <f t="shared" ref="D93:W93" si="36">+D88+D91-D92</f>
        <v>0</v>
      </c>
      <c r="E93" s="83">
        <f t="shared" si="36"/>
        <v>10318684.405362781</v>
      </c>
      <c r="F93" s="83">
        <f t="shared" si="36"/>
        <v>12565624.595607858</v>
      </c>
      <c r="G93" s="83">
        <f t="shared" si="36"/>
        <v>13949510.888337135</v>
      </c>
      <c r="H93" s="83">
        <f t="shared" si="36"/>
        <v>14730216.91169795</v>
      </c>
      <c r="I93" s="83">
        <f t="shared" si="36"/>
        <v>13897406.650436457</v>
      </c>
      <c r="J93" s="83">
        <f t="shared" si="36"/>
        <v>13064596.389174964</v>
      </c>
      <c r="K93" s="83">
        <f t="shared" si="36"/>
        <v>12231786.127913471</v>
      </c>
      <c r="L93" s="83">
        <f t="shared" si="36"/>
        <v>11398975.866651978</v>
      </c>
      <c r="M93" s="83">
        <f t="shared" si="36"/>
        <v>10566165.605390485</v>
      </c>
      <c r="N93" s="83">
        <f t="shared" si="36"/>
        <v>9733355.3441289924</v>
      </c>
      <c r="O93" s="83">
        <f t="shared" si="36"/>
        <v>8900545.0828674994</v>
      </c>
      <c r="P93" s="83">
        <f t="shared" si="36"/>
        <v>8067734.8216060074</v>
      </c>
      <c r="Q93" s="83">
        <f t="shared" si="36"/>
        <v>7234924.5603445154</v>
      </c>
      <c r="R93" s="83">
        <f t="shared" si="36"/>
        <v>6402114.2990830233</v>
      </c>
      <c r="S93" s="83">
        <f t="shared" si="36"/>
        <v>5569304.0378215313</v>
      </c>
      <c r="T93" s="83">
        <f t="shared" si="36"/>
        <v>4736493.7765600393</v>
      </c>
      <c r="U93" s="83">
        <f t="shared" si="36"/>
        <v>3903683.5152985472</v>
      </c>
      <c r="V93" s="83">
        <f t="shared" si="36"/>
        <v>3070873.2540370552</v>
      </c>
      <c r="W93" s="83">
        <f t="shared" si="36"/>
        <v>2238062.9927755632</v>
      </c>
    </row>
    <row r="95" spans="2:23" x14ac:dyDescent="0.2">
      <c r="B95" s="2" t="s">
        <v>175</v>
      </c>
      <c r="C95" s="43">
        <f>+C87</f>
        <v>0.05</v>
      </c>
      <c r="D95" s="83">
        <f>SUM($D91:D91)*$C95</f>
        <v>0</v>
      </c>
      <c r="E95" s="83">
        <f>SUM($D91:E91)*$C95</f>
        <v>515934.22026813909</v>
      </c>
      <c r="F95" s="83">
        <f>SUM($D91:F91)*$C95</f>
        <v>654077.94079379982</v>
      </c>
      <c r="G95" s="83">
        <f>SUM($D91:G91)*$C95</f>
        <v>755976.15246995364</v>
      </c>
      <c r="H95" s="83">
        <f>SUM($D91:H91)*$C95</f>
        <v>832810.26126149204</v>
      </c>
      <c r="I95" s="83">
        <f>SUM($D91:I91)*$C95</f>
        <v>832810.26126149204</v>
      </c>
      <c r="J95" s="83">
        <f>SUM($D91:J91)*$C95</f>
        <v>832810.26126149204</v>
      </c>
      <c r="K95" s="83">
        <f>SUM($D91:K91)*$C95</f>
        <v>832810.26126149204</v>
      </c>
      <c r="L95" s="83">
        <f>SUM($D91:L91)*$C95</f>
        <v>832810.26126149204</v>
      </c>
      <c r="M95" s="83">
        <f>SUM($D91:M91)*$C95</f>
        <v>832810.26126149204</v>
      </c>
      <c r="N95" s="83">
        <f>SUM($D91:N91)*$C95</f>
        <v>832810.26126149204</v>
      </c>
      <c r="O95" s="83">
        <f>SUM($D91:O91)*$C95</f>
        <v>832810.26126149204</v>
      </c>
      <c r="P95" s="83">
        <f>SUM($D91:P91)*$C95</f>
        <v>832810.26126149204</v>
      </c>
      <c r="Q95" s="83">
        <f>SUM($D91:Q91)*$C95</f>
        <v>832810.26126149204</v>
      </c>
      <c r="R95" s="83">
        <f>SUM($D91:R91)*$C95</f>
        <v>832810.26126149204</v>
      </c>
      <c r="S95" s="83">
        <f>SUM($D91:S91)*$C95</f>
        <v>832810.26126149204</v>
      </c>
      <c r="T95" s="83">
        <f>SUM($D91:T91)*$C95</f>
        <v>832810.26126149204</v>
      </c>
      <c r="U95" s="83">
        <f>SUM($D91:U91)*$C95</f>
        <v>832810.26126149204</v>
      </c>
      <c r="V95" s="83">
        <f>SUM($D91:V91)*$C95</f>
        <v>832810.26126149204</v>
      </c>
      <c r="W95" s="83">
        <f>SUM($D91:W91)*$C95</f>
        <v>832810.26126149204</v>
      </c>
    </row>
    <row r="97" spans="2:23" x14ac:dyDescent="0.2">
      <c r="B97" s="41" t="s">
        <v>169</v>
      </c>
      <c r="D97" s="83">
        <f>+D93-D95</f>
        <v>0</v>
      </c>
      <c r="E97" s="83">
        <f t="shared" ref="E97:W97" si="37">+E93-E95</f>
        <v>9802750.1850946415</v>
      </c>
      <c r="F97" s="83">
        <f t="shared" si="37"/>
        <v>11911546.654814059</v>
      </c>
      <c r="G97" s="83">
        <f t="shared" si="37"/>
        <v>13193534.735867182</v>
      </c>
      <c r="H97" s="83">
        <f t="shared" si="37"/>
        <v>13897406.650436457</v>
      </c>
      <c r="I97" s="83">
        <f t="shared" si="37"/>
        <v>13064596.389174964</v>
      </c>
      <c r="J97" s="83">
        <f t="shared" si="37"/>
        <v>12231786.127913471</v>
      </c>
      <c r="K97" s="83">
        <f t="shared" si="37"/>
        <v>11398975.866651978</v>
      </c>
      <c r="L97" s="83">
        <f t="shared" si="37"/>
        <v>10566165.605390485</v>
      </c>
      <c r="M97" s="83">
        <f t="shared" si="37"/>
        <v>9733355.3441289924</v>
      </c>
      <c r="N97" s="83">
        <f t="shared" si="37"/>
        <v>8900545.0828674994</v>
      </c>
      <c r="O97" s="83">
        <f t="shared" si="37"/>
        <v>8067734.8216060074</v>
      </c>
      <c r="P97" s="83">
        <f t="shared" si="37"/>
        <v>7234924.5603445154</v>
      </c>
      <c r="Q97" s="83">
        <f t="shared" si="37"/>
        <v>6402114.2990830233</v>
      </c>
      <c r="R97" s="83">
        <f t="shared" si="37"/>
        <v>5569304.0378215313</v>
      </c>
      <c r="S97" s="83">
        <f t="shared" si="37"/>
        <v>4736493.7765600393</v>
      </c>
      <c r="T97" s="83">
        <f t="shared" si="37"/>
        <v>3903683.5152985472</v>
      </c>
      <c r="U97" s="83">
        <f t="shared" si="37"/>
        <v>3070873.2540370552</v>
      </c>
      <c r="V97" s="83">
        <f t="shared" si="37"/>
        <v>2238062.9927755632</v>
      </c>
      <c r="W97" s="83">
        <f t="shared" si="37"/>
        <v>1405252.7315140711</v>
      </c>
    </row>
    <row r="100" spans="2:23" x14ac:dyDescent="0.2">
      <c r="B100" s="2" t="s">
        <v>176</v>
      </c>
      <c r="D100" s="83">
        <f ca="1">+D17</f>
        <v>0</v>
      </c>
      <c r="E100" s="123">
        <f t="shared" ref="E100:W100" ca="1" si="38">+E17</f>
        <v>0</v>
      </c>
      <c r="F100" s="123">
        <f t="shared" ca="1" si="38"/>
        <v>340516.58999999997</v>
      </c>
      <c r="G100" s="123">
        <f t="shared" ca="1" si="38"/>
        <v>441906.94769999996</v>
      </c>
      <c r="H100" s="123">
        <f t="shared" ca="1" si="38"/>
        <v>522416.95613100001</v>
      </c>
      <c r="I100" s="123">
        <f t="shared" ca="1" si="38"/>
        <v>565228.21481492999</v>
      </c>
      <c r="J100" s="123">
        <f t="shared" ca="1" si="38"/>
        <v>592839.62125937792</v>
      </c>
      <c r="K100" s="123">
        <f t="shared" ca="1" si="38"/>
        <v>591160.0298971592</v>
      </c>
      <c r="L100" s="123">
        <f t="shared" ca="1" si="38"/>
        <v>566012.89079407405</v>
      </c>
      <c r="M100" s="123">
        <f t="shared" ca="1" si="38"/>
        <v>530606.07751789619</v>
      </c>
      <c r="N100" s="123">
        <f t="shared" ca="1" si="38"/>
        <v>487973.85984343314</v>
      </c>
      <c r="O100" s="123">
        <f t="shared" ca="1" si="38"/>
        <v>444062.67563873611</v>
      </c>
      <c r="P100" s="123">
        <f t="shared" ca="1" si="38"/>
        <v>398834.15590789821</v>
      </c>
      <c r="Q100" s="123">
        <f t="shared" ca="1" si="38"/>
        <v>352248.78058513516</v>
      </c>
      <c r="R100" s="123">
        <f t="shared" ca="1" si="38"/>
        <v>304265.84400268918</v>
      </c>
      <c r="S100" s="123">
        <f t="shared" ca="1" si="38"/>
        <v>254843.41932276986</v>
      </c>
      <c r="T100" s="123">
        <f t="shared" ca="1" si="38"/>
        <v>203938.32190245297</v>
      </c>
      <c r="U100" s="123">
        <f t="shared" ca="1" si="38"/>
        <v>151506.07155952655</v>
      </c>
      <c r="V100" s="123">
        <f t="shared" ca="1" si="38"/>
        <v>97500.853706312351</v>
      </c>
      <c r="W100" s="123">
        <f t="shared" ca="1" si="38"/>
        <v>41875.479317501718</v>
      </c>
    </row>
    <row r="101" spans="2:23" x14ac:dyDescent="0.2">
      <c r="B101" s="2" t="s">
        <v>179</v>
      </c>
      <c r="D101" s="83">
        <f t="shared" ref="D101:W101" si="39">-(D14)</f>
        <v>0</v>
      </c>
      <c r="E101" s="123">
        <f t="shared" si="39"/>
        <v>0</v>
      </c>
      <c r="F101" s="123">
        <f t="shared" si="39"/>
        <v>0</v>
      </c>
      <c r="G101" s="123">
        <f t="shared" si="39"/>
        <v>0</v>
      </c>
      <c r="H101" s="123">
        <f t="shared" ca="1" si="39"/>
        <v>410880</v>
      </c>
      <c r="I101" s="123">
        <f t="shared" ca="1" si="39"/>
        <v>821760</v>
      </c>
      <c r="J101" s="123">
        <f t="shared" ca="1" si="39"/>
        <v>1232640</v>
      </c>
      <c r="K101" s="123">
        <f t="shared" ca="1" si="39"/>
        <v>1540800</v>
      </c>
      <c r="L101" s="123">
        <f t="shared" ca="1" si="39"/>
        <v>1746240</v>
      </c>
      <c r="M101" s="123">
        <f t="shared" ca="1" si="39"/>
        <v>1951680</v>
      </c>
      <c r="N101" s="123">
        <f t="shared" ca="1" si="39"/>
        <v>1951680</v>
      </c>
      <c r="O101" s="123">
        <f t="shared" ca="1" si="39"/>
        <v>1951680</v>
      </c>
      <c r="P101" s="123">
        <f t="shared" ca="1" si="39"/>
        <v>1951680</v>
      </c>
      <c r="Q101" s="123">
        <f t="shared" ca="1" si="39"/>
        <v>1951680</v>
      </c>
      <c r="R101" s="123">
        <f t="shared" ca="1" si="39"/>
        <v>1951680</v>
      </c>
      <c r="S101" s="123">
        <f t="shared" ca="1" si="39"/>
        <v>1951680</v>
      </c>
      <c r="T101" s="123">
        <f t="shared" ca="1" si="39"/>
        <v>1951680</v>
      </c>
      <c r="U101" s="123">
        <f t="shared" ca="1" si="39"/>
        <v>1951680</v>
      </c>
      <c r="V101" s="123">
        <f t="shared" ca="1" si="39"/>
        <v>1951680</v>
      </c>
      <c r="W101" s="123">
        <f t="shared" ca="1" si="39"/>
        <v>1437724.7899008924</v>
      </c>
    </row>
    <row r="102" spans="2:23" x14ac:dyDescent="0.2">
      <c r="B102" s="2" t="s">
        <v>177</v>
      </c>
      <c r="D102" s="83">
        <f>+D41+D55+D68+D81</f>
        <v>0</v>
      </c>
      <c r="E102" s="83">
        <f t="shared" ref="E102:W102" si="40">+E41+E55+E68+E81</f>
        <v>0</v>
      </c>
      <c r="F102" s="83">
        <f t="shared" si="40"/>
        <v>0</v>
      </c>
      <c r="G102" s="83">
        <f t="shared" si="40"/>
        <v>0</v>
      </c>
      <c r="H102" s="83">
        <f t="shared" si="40"/>
        <v>0</v>
      </c>
      <c r="I102" s="83">
        <f t="shared" si="40"/>
        <v>0</v>
      </c>
      <c r="J102" s="83">
        <f t="shared" si="40"/>
        <v>0</v>
      </c>
      <c r="K102" s="83">
        <f t="shared" si="40"/>
        <v>0</v>
      </c>
      <c r="L102" s="83">
        <f t="shared" si="40"/>
        <v>0</v>
      </c>
      <c r="M102" s="83">
        <f t="shared" si="40"/>
        <v>0</v>
      </c>
      <c r="N102" s="83">
        <f t="shared" si="40"/>
        <v>0</v>
      </c>
      <c r="O102" s="83">
        <f t="shared" si="40"/>
        <v>0</v>
      </c>
      <c r="P102" s="83">
        <f t="shared" si="40"/>
        <v>0</v>
      </c>
      <c r="Q102" s="83">
        <f t="shared" si="40"/>
        <v>0</v>
      </c>
      <c r="R102" s="83">
        <f t="shared" si="40"/>
        <v>0</v>
      </c>
      <c r="S102" s="83">
        <f t="shared" si="40"/>
        <v>0</v>
      </c>
      <c r="T102" s="83">
        <f t="shared" si="40"/>
        <v>0</v>
      </c>
      <c r="U102" s="83">
        <f t="shared" si="40"/>
        <v>0</v>
      </c>
      <c r="V102" s="83">
        <f t="shared" si="40"/>
        <v>0</v>
      </c>
      <c r="W102" s="83">
        <f t="shared" si="40"/>
        <v>0</v>
      </c>
    </row>
    <row r="103" spans="2:23" x14ac:dyDescent="0.2">
      <c r="B103" s="2" t="s">
        <v>178</v>
      </c>
      <c r="D103" s="83">
        <f>+D95</f>
        <v>0</v>
      </c>
      <c r="E103" s="83">
        <f t="shared" ref="E103:W103" si="41">+E95</f>
        <v>515934.22026813909</v>
      </c>
      <c r="F103" s="83">
        <f t="shared" si="41"/>
        <v>654077.94079379982</v>
      </c>
      <c r="G103" s="83">
        <f t="shared" si="41"/>
        <v>755976.15246995364</v>
      </c>
      <c r="H103" s="83">
        <f t="shared" si="41"/>
        <v>832810.26126149204</v>
      </c>
      <c r="I103" s="83">
        <f t="shared" si="41"/>
        <v>832810.26126149204</v>
      </c>
      <c r="J103" s="83">
        <f t="shared" si="41"/>
        <v>832810.26126149204</v>
      </c>
      <c r="K103" s="83">
        <f t="shared" si="41"/>
        <v>832810.26126149204</v>
      </c>
      <c r="L103" s="83">
        <f t="shared" si="41"/>
        <v>832810.26126149204</v>
      </c>
      <c r="M103" s="83">
        <f t="shared" si="41"/>
        <v>832810.26126149204</v>
      </c>
      <c r="N103" s="83">
        <f t="shared" si="41"/>
        <v>832810.26126149204</v>
      </c>
      <c r="O103" s="83">
        <f t="shared" si="41"/>
        <v>832810.26126149204</v>
      </c>
      <c r="P103" s="83">
        <f t="shared" si="41"/>
        <v>832810.26126149204</v>
      </c>
      <c r="Q103" s="83">
        <f t="shared" si="41"/>
        <v>832810.26126149204</v>
      </c>
      <c r="R103" s="83">
        <f t="shared" si="41"/>
        <v>832810.26126149204</v>
      </c>
      <c r="S103" s="83">
        <f t="shared" si="41"/>
        <v>832810.26126149204</v>
      </c>
      <c r="T103" s="83">
        <f t="shared" si="41"/>
        <v>832810.26126149204</v>
      </c>
      <c r="U103" s="83">
        <f t="shared" si="41"/>
        <v>832810.26126149204</v>
      </c>
      <c r="V103" s="83">
        <f t="shared" si="41"/>
        <v>832810.26126149204</v>
      </c>
      <c r="W103" s="83">
        <f t="shared" si="41"/>
        <v>832810.26126149204</v>
      </c>
    </row>
    <row r="105" spans="2:23" x14ac:dyDescent="0.2">
      <c r="B105" s="2" t="s">
        <v>86</v>
      </c>
      <c r="D105" s="83">
        <f ca="1">SUM(D100:D103)</f>
        <v>0</v>
      </c>
      <c r="E105" s="83">
        <f t="shared" ref="E105:W105" ca="1" si="42">SUM(E100:E103)</f>
        <v>515934.22026813909</v>
      </c>
      <c r="F105" s="83">
        <f t="shared" ca="1" si="42"/>
        <v>994594.53079379979</v>
      </c>
      <c r="G105" s="83">
        <f t="shared" ca="1" si="42"/>
        <v>1197883.1001699537</v>
      </c>
      <c r="H105" s="83">
        <f t="shared" ca="1" si="42"/>
        <v>1766107.2173924921</v>
      </c>
      <c r="I105" s="83">
        <f t="shared" ca="1" si="42"/>
        <v>2219798.4760764223</v>
      </c>
      <c r="J105" s="83">
        <f t="shared" ca="1" si="42"/>
        <v>2658289.8825208698</v>
      </c>
      <c r="K105" s="83">
        <f t="shared" ca="1" si="42"/>
        <v>2964770.291158651</v>
      </c>
      <c r="L105" s="83">
        <f t="shared" ca="1" si="42"/>
        <v>3145063.1520555662</v>
      </c>
      <c r="M105" s="83">
        <f t="shared" ca="1" si="42"/>
        <v>3315096.338779388</v>
      </c>
      <c r="N105" s="83">
        <f t="shared" ca="1" si="42"/>
        <v>3272464.1211049249</v>
      </c>
      <c r="O105" s="83">
        <f t="shared" ca="1" si="42"/>
        <v>3228552.9369002283</v>
      </c>
      <c r="P105" s="83">
        <f t="shared" ca="1" si="42"/>
        <v>3183324.4171693902</v>
      </c>
      <c r="Q105" s="83">
        <f t="shared" ca="1" si="42"/>
        <v>3136739.0418466274</v>
      </c>
      <c r="R105" s="83">
        <f t="shared" ca="1" si="42"/>
        <v>3088756.1052641813</v>
      </c>
      <c r="S105" s="83">
        <f t="shared" ca="1" si="42"/>
        <v>3039333.6805842621</v>
      </c>
      <c r="T105" s="83">
        <f t="shared" ca="1" si="42"/>
        <v>2988428.583163945</v>
      </c>
      <c r="U105" s="83">
        <f t="shared" ca="1" si="42"/>
        <v>2935996.3328210185</v>
      </c>
      <c r="V105" s="83">
        <f t="shared" ca="1" si="42"/>
        <v>2881991.1149678044</v>
      </c>
      <c r="W105" s="83">
        <f t="shared" ca="1" si="42"/>
        <v>2312410.5304798861</v>
      </c>
    </row>
    <row r="107" spans="2:23" x14ac:dyDescent="0.2">
      <c r="F107" s="83"/>
    </row>
  </sheetData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W81"/>
  <sheetViews>
    <sheetView showGridLines="0" topLeftCell="B1" zoomScaleNormal="100" workbookViewId="0">
      <pane xSplit="2" ySplit="4" topLeftCell="D28" activePane="bottomRight" state="frozen"/>
      <selection activeCell="B1" sqref="B1"/>
      <selection pane="topRight" activeCell="D1" sqref="D1"/>
      <selection pane="bottomLeft" activeCell="B2" sqref="B2"/>
      <selection pane="bottomRight" activeCell="E24" sqref="E24"/>
    </sheetView>
  </sheetViews>
  <sheetFormatPr defaultRowHeight="12.75" x14ac:dyDescent="0.2"/>
  <cols>
    <col min="1" max="1" width="9.140625" style="129"/>
    <col min="2" max="2" width="44.85546875" style="129" customWidth="1"/>
    <col min="3" max="3" width="14.85546875" style="129" customWidth="1"/>
    <col min="4" max="23" width="15.7109375" style="129" customWidth="1"/>
    <col min="24" max="16384" width="9.140625" style="129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222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129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7" spans="2:23" x14ac:dyDescent="0.2">
      <c r="B7" s="129" t="s">
        <v>150</v>
      </c>
      <c r="C7" s="121"/>
      <c r="D7" s="123">
        <f>+'Field Ops (500Ha)'!F17</f>
        <v>0</v>
      </c>
      <c r="E7" s="123">
        <f>+'Field Ops (500Ha)'!G17</f>
        <v>500</v>
      </c>
      <c r="F7" s="123">
        <f>+'Field Ops (500Ha)'!H17</f>
        <v>500</v>
      </c>
      <c r="G7" s="123">
        <f>+'Field Ops (500Ha)'!I17</f>
        <v>500</v>
      </c>
      <c r="H7" s="123">
        <f>+'Field Ops (500Ha)'!J17</f>
        <v>500</v>
      </c>
      <c r="I7" s="123">
        <f>+'Field Ops (500Ha)'!K17</f>
        <v>500</v>
      </c>
      <c r="J7" s="123">
        <f>+'Field Ops (500Ha)'!L17</f>
        <v>500</v>
      </c>
      <c r="K7" s="123">
        <f>+'Field Ops (500Ha)'!M17</f>
        <v>500</v>
      </c>
      <c r="L7" s="123">
        <f>+'Field Ops (500Ha)'!N17</f>
        <v>500</v>
      </c>
      <c r="M7" s="123">
        <f>+'Field Ops (500Ha)'!O17</f>
        <v>500</v>
      </c>
      <c r="N7" s="123">
        <f>+'Field Ops (500Ha)'!P17</f>
        <v>500</v>
      </c>
      <c r="O7" s="123">
        <f>+'Field Ops (500Ha)'!Q17</f>
        <v>500</v>
      </c>
      <c r="P7" s="123">
        <f>+'Field Ops (500Ha)'!R17</f>
        <v>500</v>
      </c>
      <c r="Q7" s="123">
        <f>+'Field Ops (500Ha)'!S17</f>
        <v>500</v>
      </c>
      <c r="R7" s="123">
        <f>+'Field Ops (500Ha)'!T17</f>
        <v>500</v>
      </c>
      <c r="S7" s="123">
        <f>+'Field Ops (500Ha)'!U17</f>
        <v>500</v>
      </c>
      <c r="T7" s="123">
        <f>+'Field Ops (500Ha)'!V17</f>
        <v>500</v>
      </c>
      <c r="U7" s="123">
        <f>+'Field Ops (500Ha)'!W17</f>
        <v>500</v>
      </c>
      <c r="V7" s="123">
        <f>+'Field Ops (500Ha)'!X17</f>
        <v>500</v>
      </c>
      <c r="W7" s="123">
        <f>+'Field Ops (500Ha)'!Y17</f>
        <v>500</v>
      </c>
    </row>
    <row r="9" spans="2:23" x14ac:dyDescent="0.2">
      <c r="B9" s="129" t="s">
        <v>98</v>
      </c>
      <c r="C9" s="121" t="s">
        <v>152</v>
      </c>
      <c r="D9" s="123">
        <f>+'P&amp;L (500Ha)'!D10</f>
        <v>0</v>
      </c>
      <c r="E9" s="123">
        <f>+'P&amp;L (500Ha)'!E10</f>
        <v>0</v>
      </c>
      <c r="F9" s="123">
        <f>+'P&amp;L (500Ha)'!F10</f>
        <v>0</v>
      </c>
      <c r="G9" s="123">
        <f>+'P&amp;L (500Ha)'!G10</f>
        <v>0</v>
      </c>
      <c r="H9" s="123">
        <f>+'P&amp;L (500Ha)'!H10</f>
        <v>2000</v>
      </c>
      <c r="I9" s="123">
        <f>+'P&amp;L (500Ha)'!I10</f>
        <v>4000</v>
      </c>
      <c r="J9" s="123">
        <f>+'P&amp;L (500Ha)'!J10</f>
        <v>6000</v>
      </c>
      <c r="K9" s="123">
        <f>+'P&amp;L (500Ha)'!K10</f>
        <v>7500</v>
      </c>
      <c r="L9" s="123">
        <f>+'P&amp;L (500Ha)'!L10</f>
        <v>8500</v>
      </c>
      <c r="M9" s="123">
        <f>+'P&amp;L (500Ha)'!M10</f>
        <v>9500</v>
      </c>
      <c r="N9" s="123">
        <f>+'P&amp;L (500Ha)'!N10</f>
        <v>9500</v>
      </c>
      <c r="O9" s="123">
        <f>+'P&amp;L (500Ha)'!O10</f>
        <v>9500</v>
      </c>
      <c r="P9" s="123">
        <f>+'P&amp;L (500Ha)'!P10</f>
        <v>9500</v>
      </c>
      <c r="Q9" s="123">
        <f>+'P&amp;L (500Ha)'!Q10</f>
        <v>9500</v>
      </c>
      <c r="R9" s="123">
        <f>+'P&amp;L (500Ha)'!R10</f>
        <v>9500</v>
      </c>
      <c r="S9" s="123">
        <f>+'P&amp;L (500Ha)'!S10</f>
        <v>9500</v>
      </c>
      <c r="T9" s="123">
        <f>+'P&amp;L (500Ha)'!T10</f>
        <v>9500</v>
      </c>
      <c r="U9" s="123">
        <f>+'P&amp;L (500Ha)'!U10</f>
        <v>9500</v>
      </c>
      <c r="V9" s="123">
        <f>+'P&amp;L (500Ha)'!V10</f>
        <v>9500</v>
      </c>
      <c r="W9" s="123">
        <f>+'P&amp;L (500Ha)'!W10</f>
        <v>9500</v>
      </c>
    </row>
    <row r="10" spans="2:23" x14ac:dyDescent="0.2">
      <c r="C10" s="121"/>
    </row>
    <row r="11" spans="2:23" x14ac:dyDescent="0.2">
      <c r="B11" s="44" t="s">
        <v>167</v>
      </c>
      <c r="C11" s="9" t="s">
        <v>397</v>
      </c>
      <c r="D11" s="62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2:23" x14ac:dyDescent="0.2">
      <c r="B12" s="27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2:23" x14ac:dyDescent="0.2">
      <c r="B13" s="129" t="s">
        <v>144</v>
      </c>
      <c r="D13" s="123">
        <f>+'Finance (500Ha)'!D56</f>
        <v>0</v>
      </c>
      <c r="E13" s="123">
        <f>+'Finance (500Ha)'!E56</f>
        <v>0</v>
      </c>
      <c r="F13" s="123">
        <f>+'Finance (500Ha)'!F56</f>
        <v>0</v>
      </c>
      <c r="G13" s="123">
        <f>+'Finance (500Ha)'!G56</f>
        <v>0</v>
      </c>
      <c r="H13" s="123">
        <f>+'Finance (500Ha)'!H56</f>
        <v>0</v>
      </c>
      <c r="I13" s="123">
        <f>+'Finance (500Ha)'!I56</f>
        <v>0</v>
      </c>
      <c r="J13" s="123">
        <f>+'Finance (500Ha)'!J56</f>
        <v>0</v>
      </c>
      <c r="K13" s="123">
        <f>+'Finance (500Ha)'!K56</f>
        <v>0</v>
      </c>
      <c r="L13" s="123">
        <f>+'Finance (500Ha)'!L56</f>
        <v>0</v>
      </c>
      <c r="M13" s="123">
        <f>+'Finance (500Ha)'!M56</f>
        <v>0</v>
      </c>
      <c r="N13" s="123">
        <f>+'Finance (500Ha)'!N56</f>
        <v>0</v>
      </c>
      <c r="O13" s="123">
        <f>+'Finance (500Ha)'!O56</f>
        <v>0</v>
      </c>
      <c r="P13" s="123">
        <f>+'Finance (500Ha)'!P56</f>
        <v>0</v>
      </c>
      <c r="Q13" s="123">
        <f>+'Finance (500Ha)'!Q56</f>
        <v>0</v>
      </c>
      <c r="R13" s="123">
        <f>+'Finance (500Ha)'!R56</f>
        <v>0</v>
      </c>
      <c r="S13" s="123">
        <f>+'Finance (500Ha)'!S56</f>
        <v>0</v>
      </c>
      <c r="T13" s="123">
        <f>+'Finance (500Ha)'!T56</f>
        <v>0</v>
      </c>
      <c r="U13" s="123">
        <f>+'Finance (500Ha)'!U56</f>
        <v>0</v>
      </c>
      <c r="V13" s="123">
        <f>+'Finance (500Ha)'!V56</f>
        <v>0</v>
      </c>
      <c r="W13" s="123">
        <f>+'Finance (500Ha)'!W56</f>
        <v>0</v>
      </c>
    </row>
    <row r="14" spans="2:23" x14ac:dyDescent="0.2">
      <c r="B14" s="129" t="s">
        <v>145</v>
      </c>
      <c r="D14" s="123">
        <f>+'Finance (500Ha)'!D69+'Finance (500Ha)'!D82</f>
        <v>0</v>
      </c>
      <c r="E14" s="123">
        <f>+'Finance (500Ha)'!E69+'Finance (500Ha)'!E82</f>
        <v>0</v>
      </c>
      <c r="F14" s="123">
        <f>+'Finance (500Ha)'!F69+'Finance (500Ha)'!F82</f>
        <v>0</v>
      </c>
      <c r="G14" s="123">
        <f>+'Finance (500Ha)'!G69+'Finance (500Ha)'!G82</f>
        <v>0</v>
      </c>
      <c r="H14" s="123">
        <f>+'Finance (500Ha)'!H69+'Finance (500Ha)'!H82</f>
        <v>0</v>
      </c>
      <c r="I14" s="123">
        <f>+'Finance (500Ha)'!I69+'Finance (500Ha)'!I82</f>
        <v>0</v>
      </c>
      <c r="J14" s="123">
        <f>+'Finance (500Ha)'!J69+'Finance (500Ha)'!J82</f>
        <v>0</v>
      </c>
      <c r="K14" s="123">
        <f>+'Finance (500Ha)'!K69+'Finance (500Ha)'!K82</f>
        <v>0</v>
      </c>
      <c r="L14" s="123">
        <f>+'Finance (500Ha)'!L69+'Finance (500Ha)'!L82</f>
        <v>0</v>
      </c>
      <c r="M14" s="123">
        <f>+'Finance (500Ha)'!M69+'Finance (500Ha)'!M82</f>
        <v>0</v>
      </c>
      <c r="N14" s="123">
        <f>+'Finance (500Ha)'!N69+'Finance (500Ha)'!N82</f>
        <v>0</v>
      </c>
      <c r="O14" s="123">
        <f>+'Finance (500Ha)'!O69+'Finance (500Ha)'!O82</f>
        <v>0</v>
      </c>
      <c r="P14" s="123">
        <f>+'Finance (500Ha)'!P69+'Finance (500Ha)'!P82</f>
        <v>0</v>
      </c>
      <c r="Q14" s="123">
        <f>+'Finance (500Ha)'!Q69+'Finance (500Ha)'!Q82</f>
        <v>0</v>
      </c>
      <c r="R14" s="123">
        <f>+'Finance (500Ha)'!R69+'Finance (500Ha)'!R82</f>
        <v>0</v>
      </c>
      <c r="S14" s="123">
        <f>+'Finance (500Ha)'!S69+'Finance (500Ha)'!S82</f>
        <v>0</v>
      </c>
      <c r="T14" s="123">
        <f>+'Finance (500Ha)'!T69+'Finance (500Ha)'!T82</f>
        <v>0</v>
      </c>
      <c r="U14" s="123">
        <f>+'Finance (500Ha)'!U69+'Finance (500Ha)'!U82</f>
        <v>0</v>
      </c>
      <c r="V14" s="123">
        <f>+'Finance (500Ha)'!V69+'Finance (500Ha)'!V82</f>
        <v>0</v>
      </c>
      <c r="W14" s="123">
        <f>+'Finance (500Ha)'!W69+'Finance (500Ha)'!W82</f>
        <v>0</v>
      </c>
    </row>
    <row r="15" spans="2:23" x14ac:dyDescent="0.2">
      <c r="B15" s="27" t="s">
        <v>220</v>
      </c>
      <c r="D15" s="62">
        <f>+'Finance (500Ha)'!D96</f>
        <v>0</v>
      </c>
      <c r="E15" s="62">
        <f>+'Finance (500Ha)'!E96</f>
        <v>1531679.7164210379</v>
      </c>
      <c r="F15" s="62">
        <f>+'Finance (500Ha)'!F96</f>
        <v>1861179.1648146966</v>
      </c>
      <c r="G15" s="62">
        <f>+'Finance (500Ha)'!G96</f>
        <v>2061489.8024792471</v>
      </c>
      <c r="H15" s="62">
        <f>+'Finance (500Ha)'!H96</f>
        <v>2171469.7891306966</v>
      </c>
      <c r="I15" s="62">
        <f>+'Finance (500Ha)'!I96</f>
        <v>2041343.1858085883</v>
      </c>
      <c r="J15" s="62">
        <f>+'Finance (500Ha)'!J96</f>
        <v>1911216.58248648</v>
      </c>
      <c r="K15" s="62">
        <f>+'Finance (500Ha)'!K96</f>
        <v>1781089.9791643717</v>
      </c>
      <c r="L15" s="62">
        <f>+'Finance (500Ha)'!L96</f>
        <v>1650963.3758422635</v>
      </c>
      <c r="M15" s="62">
        <f>+'Finance (500Ha)'!M96</f>
        <v>1520836.7725201552</v>
      </c>
      <c r="N15" s="62">
        <f>+'Finance (500Ha)'!N96</f>
        <v>1390710.1691980469</v>
      </c>
      <c r="O15" s="62">
        <f>+'Finance (500Ha)'!O96</f>
        <v>1260583.5658759386</v>
      </c>
      <c r="P15" s="62">
        <f>+'Finance (500Ha)'!P96</f>
        <v>1130456.9625538304</v>
      </c>
      <c r="Q15" s="62">
        <f>+'Finance (500Ha)'!Q96</f>
        <v>1000330.3592317222</v>
      </c>
      <c r="R15" s="62">
        <f>+'Finance (500Ha)'!R96</f>
        <v>870203.75590961403</v>
      </c>
      <c r="S15" s="62">
        <f>+'Finance (500Ha)'!S96</f>
        <v>740077.15258750587</v>
      </c>
      <c r="T15" s="62">
        <f>+'Finance (500Ha)'!T96</f>
        <v>609950.54926539771</v>
      </c>
      <c r="U15" s="62">
        <f>+'Finance (500Ha)'!U96</f>
        <v>479823.94594328955</v>
      </c>
      <c r="V15" s="62">
        <f>+'Finance (500Ha)'!V96</f>
        <v>349697.34262118139</v>
      </c>
      <c r="W15" s="62">
        <f>+'Finance (500Ha)'!W96</f>
        <v>219570.73929907323</v>
      </c>
    </row>
    <row r="16" spans="2:23" x14ac:dyDescent="0.2">
      <c r="B16" s="27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2:23" x14ac:dyDescent="0.2">
      <c r="B17" s="27" t="s">
        <v>221</v>
      </c>
      <c r="D17" s="123">
        <f t="shared" ref="D17:W17" si="1">SUM(D13:D15)</f>
        <v>0</v>
      </c>
      <c r="E17" s="123">
        <f t="shared" si="1"/>
        <v>1531679.7164210379</v>
      </c>
      <c r="F17" s="123">
        <f t="shared" si="1"/>
        <v>1861179.1648146966</v>
      </c>
      <c r="G17" s="123">
        <f t="shared" si="1"/>
        <v>2061489.8024792471</v>
      </c>
      <c r="H17" s="123">
        <f t="shared" si="1"/>
        <v>2171469.7891306966</v>
      </c>
      <c r="I17" s="123">
        <f t="shared" si="1"/>
        <v>2041343.1858085883</v>
      </c>
      <c r="J17" s="123">
        <f t="shared" si="1"/>
        <v>1911216.58248648</v>
      </c>
      <c r="K17" s="123">
        <f t="shared" si="1"/>
        <v>1781089.9791643717</v>
      </c>
      <c r="L17" s="123">
        <f t="shared" si="1"/>
        <v>1650963.3758422635</v>
      </c>
      <c r="M17" s="123">
        <f t="shared" si="1"/>
        <v>1520836.7725201552</v>
      </c>
      <c r="N17" s="123">
        <f t="shared" si="1"/>
        <v>1390710.1691980469</v>
      </c>
      <c r="O17" s="123">
        <f t="shared" si="1"/>
        <v>1260583.5658759386</v>
      </c>
      <c r="P17" s="123">
        <f t="shared" si="1"/>
        <v>1130456.9625538304</v>
      </c>
      <c r="Q17" s="123">
        <f t="shared" si="1"/>
        <v>1000330.3592317222</v>
      </c>
      <c r="R17" s="123">
        <f t="shared" si="1"/>
        <v>870203.75590961403</v>
      </c>
      <c r="S17" s="123">
        <f t="shared" si="1"/>
        <v>740077.15258750587</v>
      </c>
      <c r="T17" s="123">
        <f t="shared" si="1"/>
        <v>609950.54926539771</v>
      </c>
      <c r="U17" s="123">
        <f t="shared" si="1"/>
        <v>479823.94594328955</v>
      </c>
      <c r="V17" s="123">
        <f t="shared" si="1"/>
        <v>349697.34262118139</v>
      </c>
      <c r="W17" s="123">
        <f t="shared" si="1"/>
        <v>219570.73929907323</v>
      </c>
    </row>
    <row r="18" spans="2:23" x14ac:dyDescent="0.2">
      <c r="B18" s="27"/>
    </row>
    <row r="19" spans="2:23" x14ac:dyDescent="0.2">
      <c r="B19" s="44" t="s">
        <v>206</v>
      </c>
      <c r="D19" s="123"/>
    </row>
    <row r="20" spans="2:23" x14ac:dyDescent="0.2">
      <c r="B20" s="27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2:23" x14ac:dyDescent="0.2">
      <c r="B21" s="105" t="s">
        <v>405</v>
      </c>
      <c r="D21" s="123">
        <f>-'CF &amp; WC (500Ha)'!D52</f>
        <v>0</v>
      </c>
      <c r="E21" s="123">
        <f>-'CF &amp; WC (500Ha)'!E52+D21</f>
        <v>0</v>
      </c>
      <c r="F21" s="123">
        <f>-'CF &amp; WC (500Ha)'!F52+E21</f>
        <v>0</v>
      </c>
      <c r="G21" s="123">
        <f>-'CF &amp; WC (500Ha)'!G52+F21</f>
        <v>0</v>
      </c>
      <c r="H21" s="123">
        <f>-'CF &amp; WC (500Ha)'!H52+G21</f>
        <v>0</v>
      </c>
      <c r="I21" s="123">
        <f>-'CF &amp; WC (500Ha)'!I52+H21</f>
        <v>0</v>
      </c>
      <c r="J21" s="123">
        <f>-'CF &amp; WC (500Ha)'!J52+I21</f>
        <v>0</v>
      </c>
      <c r="K21" s="123">
        <f>-'CF &amp; WC (500Ha)'!K52+J21</f>
        <v>0</v>
      </c>
      <c r="L21" s="123">
        <f>-'CF &amp; WC (500Ha)'!L52+K21</f>
        <v>0</v>
      </c>
      <c r="M21" s="123">
        <f>-'CF &amp; WC (500Ha)'!M52+L21</f>
        <v>0</v>
      </c>
      <c r="N21" s="123">
        <f>-'CF &amp; WC (500Ha)'!N52+M21</f>
        <v>0</v>
      </c>
      <c r="O21" s="123">
        <f>-'CF &amp; WC (500Ha)'!O52+N21</f>
        <v>0</v>
      </c>
      <c r="P21" s="123">
        <f>-'CF &amp; WC (500Ha)'!P52+O21</f>
        <v>0</v>
      </c>
      <c r="Q21" s="123">
        <f>-'CF &amp; WC (500Ha)'!Q52+P21</f>
        <v>0</v>
      </c>
      <c r="R21" s="123">
        <f>-'CF &amp; WC (500Ha)'!R52+Q21</f>
        <v>0</v>
      </c>
      <c r="S21" s="123">
        <f>-'CF &amp; WC (500Ha)'!S52+R21</f>
        <v>0</v>
      </c>
      <c r="T21" s="123">
        <f>-'CF &amp; WC (500Ha)'!T52+S21</f>
        <v>0</v>
      </c>
      <c r="U21" s="123">
        <f>-'CF &amp; WC (500Ha)'!U52+T21</f>
        <v>0</v>
      </c>
      <c r="V21" s="123">
        <f>-'CF &amp; WC (500Ha)'!V52+U21</f>
        <v>0</v>
      </c>
      <c r="W21" s="123">
        <f>-'CF &amp; WC (500Ha)'!W52+V21</f>
        <v>0</v>
      </c>
    </row>
    <row r="22" spans="2:23" x14ac:dyDescent="0.2">
      <c r="B22" s="105" t="s">
        <v>204</v>
      </c>
      <c r="D22" s="123">
        <f>-'CF &amp; WC (500Ha)'!D53</f>
        <v>0</v>
      </c>
      <c r="E22" s="123">
        <f>-'CF &amp; WC (500Ha)'!E53+D22</f>
        <v>0</v>
      </c>
      <c r="F22" s="123">
        <f>-'CF &amp; WC (500Ha)'!F53+E22</f>
        <v>0</v>
      </c>
      <c r="G22" s="123">
        <f>-'CF &amp; WC (500Ha)'!G53+F22</f>
        <v>0</v>
      </c>
      <c r="H22" s="123">
        <f>-'CF &amp; WC (500Ha)'!H53+G22</f>
        <v>0</v>
      </c>
      <c r="I22" s="123">
        <f>-'CF &amp; WC (500Ha)'!I53+H22</f>
        <v>0</v>
      </c>
      <c r="J22" s="123">
        <f>-'CF &amp; WC (500Ha)'!J53+I22</f>
        <v>0</v>
      </c>
      <c r="K22" s="123">
        <f>-'CF &amp; WC (500Ha)'!K53+J22</f>
        <v>0</v>
      </c>
      <c r="L22" s="123">
        <f>-'CF &amp; WC (500Ha)'!L53+K22</f>
        <v>0</v>
      </c>
      <c r="M22" s="123">
        <f>-'CF &amp; WC (500Ha)'!M53+L22</f>
        <v>0</v>
      </c>
      <c r="N22" s="123">
        <f>-'CF &amp; WC (500Ha)'!N53+M22</f>
        <v>0</v>
      </c>
      <c r="O22" s="123">
        <f>-'CF &amp; WC (500Ha)'!O53+N22</f>
        <v>0</v>
      </c>
      <c r="P22" s="123">
        <f>-'CF &amp; WC (500Ha)'!P53+O22</f>
        <v>0</v>
      </c>
      <c r="Q22" s="123">
        <f>-'CF &amp; WC (500Ha)'!Q53+P22</f>
        <v>0</v>
      </c>
      <c r="R22" s="123">
        <f>-'CF &amp; WC (500Ha)'!R53+Q22</f>
        <v>0</v>
      </c>
      <c r="S22" s="123">
        <f>-'CF &amp; WC (500Ha)'!S53+R22</f>
        <v>0</v>
      </c>
      <c r="T22" s="123">
        <f>-'CF &amp; WC (500Ha)'!T53+S22</f>
        <v>0</v>
      </c>
      <c r="U22" s="123">
        <f>-'CF &amp; WC (500Ha)'!U53+T22</f>
        <v>0</v>
      </c>
      <c r="V22" s="123">
        <f>-'CF &amp; WC (500Ha)'!V53+U22</f>
        <v>0</v>
      </c>
      <c r="W22" s="123">
        <f>-'CF &amp; WC (500Ha)'!W53+V22</f>
        <v>0</v>
      </c>
    </row>
    <row r="23" spans="2:23" x14ac:dyDescent="0.2">
      <c r="B23" s="27" t="s">
        <v>207</v>
      </c>
      <c r="D23" s="123">
        <f>-'CF &amp; WC (500Ha)'!D55</f>
        <v>0</v>
      </c>
      <c r="E23" s="123">
        <f>-'CF &amp; WC (500Ha)'!E55+D23</f>
        <v>0</v>
      </c>
      <c r="F23" s="123">
        <f>-'CF &amp; WC (500Ha)'!F55+E23</f>
        <v>0</v>
      </c>
      <c r="G23" s="123">
        <f>-'CF &amp; WC (500Ha)'!G55+F23</f>
        <v>0</v>
      </c>
      <c r="H23" s="123">
        <f>-'CF &amp; WC (500Ha)'!H55+G23</f>
        <v>0</v>
      </c>
      <c r="I23" s="123">
        <f>-'CF &amp; WC (500Ha)'!I55+H23</f>
        <v>0</v>
      </c>
      <c r="J23" s="123">
        <f>-'CF &amp; WC (500Ha)'!J55+I23</f>
        <v>0</v>
      </c>
      <c r="K23" s="123">
        <f>-'CF &amp; WC (500Ha)'!K55+J23</f>
        <v>0</v>
      </c>
      <c r="L23" s="123">
        <f>-'CF &amp; WC (500Ha)'!L55+K23</f>
        <v>0</v>
      </c>
      <c r="M23" s="123">
        <f>-'CF &amp; WC (500Ha)'!M55+L23</f>
        <v>0</v>
      </c>
      <c r="N23" s="123">
        <f>-'CF &amp; WC (500Ha)'!N55+M23</f>
        <v>0</v>
      </c>
      <c r="O23" s="123">
        <f>-'CF &amp; WC (500Ha)'!O55+N23</f>
        <v>0</v>
      </c>
      <c r="P23" s="123">
        <f>-'CF &amp; WC (500Ha)'!P55+O23</f>
        <v>0</v>
      </c>
      <c r="Q23" s="123">
        <f>-'CF &amp; WC (500Ha)'!Q55+P23</f>
        <v>0</v>
      </c>
      <c r="R23" s="123">
        <f>-'CF &amp; WC (500Ha)'!R55+Q23</f>
        <v>0</v>
      </c>
      <c r="S23" s="123">
        <f>-'CF &amp; WC (500Ha)'!S55+R23</f>
        <v>0</v>
      </c>
      <c r="T23" s="123">
        <f>-'CF &amp; WC (500Ha)'!T55+S23</f>
        <v>0</v>
      </c>
      <c r="U23" s="123">
        <f>-'CF &amp; WC (500Ha)'!U55+T23</f>
        <v>0</v>
      </c>
      <c r="V23" s="123">
        <f>-'CF &amp; WC (500Ha)'!V55+U23</f>
        <v>0</v>
      </c>
      <c r="W23" s="123">
        <f>-'CF &amp; WC (500Ha)'!W55+V23</f>
        <v>0</v>
      </c>
    </row>
    <row r="24" spans="2:23" x14ac:dyDescent="0.2">
      <c r="B24" s="27" t="s">
        <v>250</v>
      </c>
      <c r="D24" s="123">
        <f>+'CF &amp; WC (500Ha)'!D43</f>
        <v>0</v>
      </c>
      <c r="E24" s="123">
        <f>+'CF &amp; WC (500Ha)'!E43</f>
        <v>-1755788.6431092282</v>
      </c>
      <c r="F24" s="123">
        <f>+'CF &amp; WC (500Ha)'!F43</f>
        <v>-2225908.9917911873</v>
      </c>
      <c r="G24" s="123">
        <f>+'CF &amp; WC (500Ha)'!G43</f>
        <v>-2572681.344427966</v>
      </c>
      <c r="H24" s="123">
        <f>+'CF &amp; WC (500Ha)'!H43</f>
        <v>-2743869.1245056903</v>
      </c>
      <c r="I24" s="123">
        <f>+'CF &amp; WC (500Ha)'!I43</f>
        <v>-2881968.7893590555</v>
      </c>
      <c r="J24" s="123">
        <f>+'CF &amp; WC (500Ha)'!J43</f>
        <v>-2923130.1698374208</v>
      </c>
      <c r="K24" s="123">
        <f>+'CF &amp; WC (500Ha)'!K43</f>
        <v>-2887712.194065786</v>
      </c>
      <c r="L24" s="123">
        <f>+'CF &amp; WC (500Ha)'!L43</f>
        <v>-2802752.0339191514</v>
      </c>
      <c r="M24" s="123">
        <f>+'CF &amp; WC (500Ha)'!M43</f>
        <v>-2665789.6862725168</v>
      </c>
      <c r="N24" s="123">
        <f>+'CF &amp; WC (500Ha)'!N43</f>
        <v>-2515177.0261258823</v>
      </c>
      <c r="O24" s="123">
        <f>+'CF &amp; WC (500Ha)'!O43</f>
        <v>-2363737.0743125807</v>
      </c>
      <c r="P24" s="123">
        <f>+'CF &amp; WC (500Ha)'!P43</f>
        <v>-2208160.6641659462</v>
      </c>
      <c r="Q24" s="123">
        <f>+'CF &amp; WC (500Ha)'!Q43</f>
        <v>-2055893.4206859781</v>
      </c>
      <c r="R24" s="123">
        <f>+'CF &amp; WC (500Ha)'!R43</f>
        <v>-1909624.0417893436</v>
      </c>
      <c r="S24" s="123">
        <f>+'CF &amp; WC (500Ha)'!S43</f>
        <v>1236755.6003425848</v>
      </c>
      <c r="T24" s="123">
        <f>+'CF &amp; WC (500Ha)'!T43</f>
        <v>1683493.8160447751</v>
      </c>
      <c r="U24" s="123">
        <f>+'CF &amp; WC (500Ha)'!U43</f>
        <v>2123120.2261914099</v>
      </c>
      <c r="V24" s="123">
        <f>+'CF &amp; WC (500Ha)'!V43</f>
        <v>2563791.6363380444</v>
      </c>
      <c r="W24" s="123">
        <f>+'CF &amp; WC (500Ha)'!W43</f>
        <v>3004463.046484679</v>
      </c>
    </row>
    <row r="25" spans="2:23" x14ac:dyDescent="0.2">
      <c r="B25" s="27"/>
    </row>
    <row r="26" spans="2:23" x14ac:dyDescent="0.2">
      <c r="B26" s="27" t="s">
        <v>208</v>
      </c>
      <c r="D26" s="123">
        <f>SUM(D21:D24)</f>
        <v>0</v>
      </c>
      <c r="E26" s="123">
        <f t="shared" ref="E26:W26" si="2">SUM(E21:E24)</f>
        <v>-1755788.6431092282</v>
      </c>
      <c r="F26" s="123">
        <f t="shared" si="2"/>
        <v>-2225908.9917911873</v>
      </c>
      <c r="G26" s="123">
        <f t="shared" si="2"/>
        <v>-2572681.344427966</v>
      </c>
      <c r="H26" s="123">
        <f t="shared" si="2"/>
        <v>-2743869.1245056903</v>
      </c>
      <c r="I26" s="123">
        <f t="shared" si="2"/>
        <v>-2881968.7893590555</v>
      </c>
      <c r="J26" s="123">
        <f t="shared" si="2"/>
        <v>-2923130.1698374208</v>
      </c>
      <c r="K26" s="123">
        <f t="shared" si="2"/>
        <v>-2887712.194065786</v>
      </c>
      <c r="L26" s="123">
        <f t="shared" si="2"/>
        <v>-2802752.0339191514</v>
      </c>
      <c r="M26" s="123">
        <f t="shared" si="2"/>
        <v>-2665789.6862725168</v>
      </c>
      <c r="N26" s="123">
        <f t="shared" si="2"/>
        <v>-2515177.0261258823</v>
      </c>
      <c r="O26" s="123">
        <f t="shared" si="2"/>
        <v>-2363737.0743125807</v>
      </c>
      <c r="P26" s="123">
        <f t="shared" si="2"/>
        <v>-2208160.6641659462</v>
      </c>
      <c r="Q26" s="123">
        <f t="shared" si="2"/>
        <v>-2055893.4206859781</v>
      </c>
      <c r="R26" s="123">
        <f t="shared" si="2"/>
        <v>-1909624.0417893436</v>
      </c>
      <c r="S26" s="123">
        <f t="shared" si="2"/>
        <v>1236755.6003425848</v>
      </c>
      <c r="T26" s="123">
        <f t="shared" si="2"/>
        <v>1683493.8160447751</v>
      </c>
      <c r="U26" s="123">
        <f t="shared" si="2"/>
        <v>2123120.2261914099</v>
      </c>
      <c r="V26" s="123">
        <f t="shared" si="2"/>
        <v>2563791.6363380444</v>
      </c>
      <c r="W26" s="123">
        <f t="shared" si="2"/>
        <v>3004463.046484679</v>
      </c>
    </row>
    <row r="27" spans="2:23" x14ac:dyDescent="0.2">
      <c r="B27" s="27"/>
    </row>
    <row r="28" spans="2:23" x14ac:dyDescent="0.2">
      <c r="B28" s="27" t="s">
        <v>209</v>
      </c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2:23" x14ac:dyDescent="0.2">
      <c r="B29" s="27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2:23" x14ac:dyDescent="0.2">
      <c r="B30" s="27" t="s">
        <v>210</v>
      </c>
      <c r="D30" s="123">
        <f>+'CF &amp; WC (500Ha)'!D61</f>
        <v>0</v>
      </c>
      <c r="E30" s="123">
        <f>+'CF &amp; WC (500Ha)'!E61+D30</f>
        <v>0</v>
      </c>
      <c r="F30" s="123">
        <f>+'CF &amp; WC (500Ha)'!F61+E30</f>
        <v>0</v>
      </c>
      <c r="G30" s="123">
        <f>+'CF &amp; WC (500Ha)'!G61+F30</f>
        <v>0</v>
      </c>
      <c r="H30" s="123">
        <f>+'CF &amp; WC (500Ha)'!H61+G30</f>
        <v>0</v>
      </c>
      <c r="I30" s="123">
        <f>+'CF &amp; WC (500Ha)'!I61+H30</f>
        <v>0</v>
      </c>
      <c r="J30" s="123">
        <f>+'CF &amp; WC (500Ha)'!J61+I30</f>
        <v>0</v>
      </c>
      <c r="K30" s="123">
        <f>+'CF &amp; WC (500Ha)'!K61+J30</f>
        <v>0</v>
      </c>
      <c r="L30" s="123">
        <f>+'CF &amp; WC (500Ha)'!L61+K30</f>
        <v>0</v>
      </c>
      <c r="M30" s="123">
        <f>+'CF &amp; WC (500Ha)'!M61+L30</f>
        <v>0</v>
      </c>
      <c r="N30" s="123">
        <f>+'CF &amp; WC (500Ha)'!N61+M30</f>
        <v>0</v>
      </c>
      <c r="O30" s="123">
        <f>+'CF &amp; WC (500Ha)'!O61+N30</f>
        <v>0</v>
      </c>
      <c r="P30" s="123">
        <f>+'CF &amp; WC (500Ha)'!P61+O30</f>
        <v>0</v>
      </c>
      <c r="Q30" s="123">
        <f>+'CF &amp; WC (500Ha)'!Q61+P30</f>
        <v>0</v>
      </c>
      <c r="R30" s="123">
        <f>+'CF &amp; WC (500Ha)'!R61+Q30</f>
        <v>0</v>
      </c>
      <c r="S30" s="123">
        <f>+'CF &amp; WC (500Ha)'!S61+R30</f>
        <v>0</v>
      </c>
      <c r="T30" s="123">
        <f>+'CF &amp; WC (500Ha)'!T61+S30</f>
        <v>0</v>
      </c>
      <c r="U30" s="123">
        <f>+'CF &amp; WC (500Ha)'!U61+T30</f>
        <v>0</v>
      </c>
      <c r="V30" s="123">
        <f>+'CF &amp; WC (500Ha)'!V61+U30</f>
        <v>0</v>
      </c>
      <c r="W30" s="123">
        <f>+'CF &amp; WC (500Ha)'!W61+V30</f>
        <v>0</v>
      </c>
    </row>
    <row r="31" spans="2:23" x14ac:dyDescent="0.2">
      <c r="B31" s="27" t="s">
        <v>211</v>
      </c>
      <c r="D31" s="129">
        <f>+'P&amp;L (500Ha)'!D41</f>
        <v>0</v>
      </c>
      <c r="E31" s="129">
        <f>+'P&amp;L (500Ha)'!E41</f>
        <v>0</v>
      </c>
      <c r="F31" s="123">
        <f>+'P&amp;L (500Ha)'!F41</f>
        <v>0</v>
      </c>
      <c r="G31" s="123">
        <f>+'P&amp;L (500Ha)'!G41</f>
        <v>0</v>
      </c>
      <c r="H31" s="123">
        <f>+'P&amp;L (500Ha)'!H41</f>
        <v>0</v>
      </c>
      <c r="I31" s="123">
        <f>+'P&amp;L (500Ha)'!I41</f>
        <v>0</v>
      </c>
      <c r="J31" s="123">
        <f>+'P&amp;L (500Ha)'!J41</f>
        <v>0</v>
      </c>
      <c r="K31" s="123">
        <f>+'P&amp;L (500Ha)'!K41</f>
        <v>0</v>
      </c>
      <c r="L31" s="123">
        <f>+'P&amp;L (500Ha)'!L41</f>
        <v>0</v>
      </c>
      <c r="M31" s="123">
        <f>+'P&amp;L (500Ha)'!M41</f>
        <v>0</v>
      </c>
      <c r="N31" s="123">
        <f>+'P&amp;L (500Ha)'!N41</f>
        <v>0</v>
      </c>
      <c r="O31" s="123">
        <f>+'P&amp;L (500Ha)'!O41</f>
        <v>0</v>
      </c>
      <c r="P31" s="123">
        <f>+'P&amp;L (500Ha)'!P41</f>
        <v>0</v>
      </c>
      <c r="Q31" s="123">
        <f>+'P&amp;L (500Ha)'!Q41</f>
        <v>0</v>
      </c>
      <c r="R31" s="123">
        <f>+'P&amp;L (500Ha)'!R41</f>
        <v>0</v>
      </c>
      <c r="S31" s="123">
        <f>+'P&amp;L (500Ha)'!S41</f>
        <v>0</v>
      </c>
      <c r="T31" s="123">
        <f>+'P&amp;L (500Ha)'!T41</f>
        <v>0</v>
      </c>
      <c r="U31" s="123">
        <f>+'P&amp;L (500Ha)'!U41</f>
        <v>0</v>
      </c>
      <c r="V31" s="123">
        <f>+'P&amp;L (500Ha)'!V41</f>
        <v>0</v>
      </c>
      <c r="W31" s="123">
        <f>+'P&amp;L (500Ha)'!W41</f>
        <v>0</v>
      </c>
    </row>
    <row r="32" spans="2:23" x14ac:dyDescent="0.2">
      <c r="B32" s="27"/>
    </row>
    <row r="33" spans="2:23" x14ac:dyDescent="0.2">
      <c r="B33" s="27" t="s">
        <v>212</v>
      </c>
      <c r="D33" s="123">
        <f t="shared" ref="D33:W33" si="3">SUM(D30:D31)</f>
        <v>0</v>
      </c>
      <c r="E33" s="123">
        <f t="shared" si="3"/>
        <v>0</v>
      </c>
      <c r="F33" s="123">
        <f t="shared" si="3"/>
        <v>0</v>
      </c>
      <c r="G33" s="123">
        <f t="shared" si="3"/>
        <v>0</v>
      </c>
      <c r="H33" s="123">
        <f t="shared" si="3"/>
        <v>0</v>
      </c>
      <c r="I33" s="123">
        <f t="shared" si="3"/>
        <v>0</v>
      </c>
      <c r="J33" s="123">
        <f t="shared" si="3"/>
        <v>0</v>
      </c>
      <c r="K33" s="123">
        <f t="shared" si="3"/>
        <v>0</v>
      </c>
      <c r="L33" s="123">
        <f t="shared" si="3"/>
        <v>0</v>
      </c>
      <c r="M33" s="123">
        <f t="shared" si="3"/>
        <v>0</v>
      </c>
      <c r="N33" s="123">
        <f t="shared" si="3"/>
        <v>0</v>
      </c>
      <c r="O33" s="123">
        <f t="shared" si="3"/>
        <v>0</v>
      </c>
      <c r="P33" s="123">
        <f t="shared" si="3"/>
        <v>0</v>
      </c>
      <c r="Q33" s="123">
        <f t="shared" si="3"/>
        <v>0</v>
      </c>
      <c r="R33" s="123">
        <f t="shared" si="3"/>
        <v>0</v>
      </c>
      <c r="S33" s="123">
        <f t="shared" si="3"/>
        <v>0</v>
      </c>
      <c r="T33" s="123">
        <f t="shared" si="3"/>
        <v>0</v>
      </c>
      <c r="U33" s="123">
        <f t="shared" si="3"/>
        <v>0</v>
      </c>
      <c r="V33" s="123">
        <f t="shared" si="3"/>
        <v>0</v>
      </c>
      <c r="W33" s="123">
        <f t="shared" si="3"/>
        <v>0</v>
      </c>
    </row>
    <row r="34" spans="2:23" x14ac:dyDescent="0.2">
      <c r="B34" s="27"/>
    </row>
    <row r="35" spans="2:23" x14ac:dyDescent="0.2">
      <c r="B35" s="44" t="s">
        <v>213</v>
      </c>
      <c r="C35" s="41"/>
      <c r="D35" s="42">
        <f t="shared" ref="D35:W35" si="4">+D26-D33</f>
        <v>0</v>
      </c>
      <c r="E35" s="42">
        <f t="shared" si="4"/>
        <v>-1755788.6431092282</v>
      </c>
      <c r="F35" s="42">
        <f t="shared" si="4"/>
        <v>-2225908.9917911873</v>
      </c>
      <c r="G35" s="42">
        <f t="shared" si="4"/>
        <v>-2572681.344427966</v>
      </c>
      <c r="H35" s="42">
        <f t="shared" si="4"/>
        <v>-2743869.1245056903</v>
      </c>
      <c r="I35" s="42">
        <f t="shared" si="4"/>
        <v>-2881968.7893590555</v>
      </c>
      <c r="J35" s="42">
        <f t="shared" si="4"/>
        <v>-2923130.1698374208</v>
      </c>
      <c r="K35" s="42">
        <f t="shared" si="4"/>
        <v>-2887712.194065786</v>
      </c>
      <c r="L35" s="42">
        <f t="shared" si="4"/>
        <v>-2802752.0339191514</v>
      </c>
      <c r="M35" s="42">
        <f t="shared" si="4"/>
        <v>-2665789.6862725168</v>
      </c>
      <c r="N35" s="42">
        <f t="shared" si="4"/>
        <v>-2515177.0261258823</v>
      </c>
      <c r="O35" s="42">
        <f t="shared" si="4"/>
        <v>-2363737.0743125807</v>
      </c>
      <c r="P35" s="42">
        <f t="shared" si="4"/>
        <v>-2208160.6641659462</v>
      </c>
      <c r="Q35" s="42">
        <f t="shared" si="4"/>
        <v>-2055893.4206859781</v>
      </c>
      <c r="R35" s="42">
        <f t="shared" si="4"/>
        <v>-1909624.0417893436</v>
      </c>
      <c r="S35" s="42">
        <f t="shared" si="4"/>
        <v>1236755.6003425848</v>
      </c>
      <c r="T35" s="42">
        <f t="shared" si="4"/>
        <v>1683493.8160447751</v>
      </c>
      <c r="U35" s="42">
        <f t="shared" si="4"/>
        <v>2123120.2261914099</v>
      </c>
      <c r="V35" s="42">
        <f t="shared" si="4"/>
        <v>2563791.6363380444</v>
      </c>
      <c r="W35" s="42">
        <f t="shared" si="4"/>
        <v>3004463.046484679</v>
      </c>
    </row>
    <row r="36" spans="2:23" x14ac:dyDescent="0.2">
      <c r="B36" s="27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2:23" x14ac:dyDescent="0.2">
      <c r="B37" s="27" t="s">
        <v>214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</row>
    <row r="38" spans="2:23" x14ac:dyDescent="0.2">
      <c r="B38" s="27"/>
    </row>
    <row r="39" spans="2:23" x14ac:dyDescent="0.2">
      <c r="B39" s="44" t="s">
        <v>215</v>
      </c>
      <c r="C39" s="41"/>
      <c r="D39" s="42">
        <f t="shared" ref="D39:W39" si="5">+D17+D35</f>
        <v>0</v>
      </c>
      <c r="E39" s="42">
        <f t="shared" si="5"/>
        <v>-224108.92668819032</v>
      </c>
      <c r="F39" s="42">
        <f t="shared" si="5"/>
        <v>-364729.82697649067</v>
      </c>
      <c r="G39" s="42">
        <f t="shared" si="5"/>
        <v>-511191.54194871895</v>
      </c>
      <c r="H39" s="42">
        <f t="shared" si="5"/>
        <v>-572399.33537499374</v>
      </c>
      <c r="I39" s="42">
        <f t="shared" si="5"/>
        <v>-840625.60355046717</v>
      </c>
      <c r="J39" s="42">
        <f t="shared" si="5"/>
        <v>-1011913.5873509408</v>
      </c>
      <c r="K39" s="42">
        <f t="shared" si="5"/>
        <v>-1106622.2149014142</v>
      </c>
      <c r="L39" s="42">
        <f t="shared" si="5"/>
        <v>-1151788.658076888</v>
      </c>
      <c r="M39" s="42">
        <f t="shared" si="5"/>
        <v>-1144952.9137523617</v>
      </c>
      <c r="N39" s="42">
        <f t="shared" si="5"/>
        <v>-1124466.8569278354</v>
      </c>
      <c r="O39" s="42">
        <f t="shared" si="5"/>
        <v>-1103153.5084366421</v>
      </c>
      <c r="P39" s="42">
        <f t="shared" si="5"/>
        <v>-1077703.7016121158</v>
      </c>
      <c r="Q39" s="42">
        <f t="shared" si="5"/>
        <v>-1055563.0614542561</v>
      </c>
      <c r="R39" s="42">
        <f t="shared" si="5"/>
        <v>-1039420.2858797295</v>
      </c>
      <c r="S39" s="42">
        <f t="shared" si="5"/>
        <v>1976832.7529300908</v>
      </c>
      <c r="T39" s="42">
        <f t="shared" si="5"/>
        <v>2293444.3653101726</v>
      </c>
      <c r="U39" s="42">
        <f t="shared" si="5"/>
        <v>2602944.1721346993</v>
      </c>
      <c r="V39" s="42">
        <f t="shared" si="5"/>
        <v>2913488.978959226</v>
      </c>
      <c r="W39" s="42">
        <f t="shared" si="5"/>
        <v>3224033.7857837523</v>
      </c>
    </row>
    <row r="40" spans="2:23" x14ac:dyDescent="0.2">
      <c r="B40" s="27"/>
    </row>
    <row r="41" spans="2:23" x14ac:dyDescent="0.2">
      <c r="B41" s="27" t="s">
        <v>216</v>
      </c>
    </row>
    <row r="42" spans="2:23" x14ac:dyDescent="0.2">
      <c r="B42" s="27"/>
    </row>
    <row r="43" spans="2:23" x14ac:dyDescent="0.2">
      <c r="B43" s="27" t="s">
        <v>217</v>
      </c>
      <c r="D43" s="123">
        <f>+'CF &amp; WC (500Ha)'!D24</f>
        <v>0</v>
      </c>
      <c r="E43" s="123">
        <f>+'CF &amp; WC (500Ha)'!E24+D43</f>
        <v>0</v>
      </c>
      <c r="F43" s="123">
        <f>+'CF &amp; WC (500Ha)'!F24+E43</f>
        <v>0</v>
      </c>
      <c r="G43" s="123">
        <f>+'CF &amp; WC (500Ha)'!G24+F43</f>
        <v>0</v>
      </c>
      <c r="H43" s="123">
        <f>+'CF &amp; WC (500Ha)'!H24+G43</f>
        <v>0</v>
      </c>
      <c r="I43" s="123">
        <f>+'CF &amp; WC (500Ha)'!I24+H43</f>
        <v>0</v>
      </c>
      <c r="J43" s="123">
        <f>+'CF &amp; WC (500Ha)'!J24+I43</f>
        <v>0</v>
      </c>
      <c r="K43" s="123">
        <f>+'CF &amp; WC (500Ha)'!K24+J43</f>
        <v>0</v>
      </c>
      <c r="L43" s="123">
        <f>+'CF &amp; WC (500Ha)'!L24+K43</f>
        <v>0</v>
      </c>
      <c r="M43" s="123">
        <f>+'CF &amp; WC (500Ha)'!M24+L43</f>
        <v>0</v>
      </c>
      <c r="N43" s="123">
        <f>+'CF &amp; WC (500Ha)'!N24+M43</f>
        <v>0</v>
      </c>
      <c r="O43" s="123">
        <f>+'CF &amp; WC (500Ha)'!O24+N43</f>
        <v>0</v>
      </c>
      <c r="P43" s="123">
        <f>+'CF &amp; WC (500Ha)'!P24+O43</f>
        <v>0</v>
      </c>
      <c r="Q43" s="123">
        <f>+'CF &amp; WC (500Ha)'!Q24+P43</f>
        <v>0</v>
      </c>
      <c r="R43" s="123">
        <f>+'CF &amp; WC (500Ha)'!R24+Q43</f>
        <v>0</v>
      </c>
      <c r="S43" s="123">
        <f>+'CF &amp; WC (500Ha)'!S24+R43</f>
        <v>0</v>
      </c>
      <c r="T43" s="123">
        <f>+'CF &amp; WC (500Ha)'!T24+S43</f>
        <v>0</v>
      </c>
      <c r="U43" s="123">
        <f>+'CF &amp; WC (500Ha)'!U24+T43</f>
        <v>0</v>
      </c>
      <c r="V43" s="123">
        <f>+'CF &amp; WC (500Ha)'!V24+U43</f>
        <v>0</v>
      </c>
      <c r="W43" s="123">
        <f>+'CF &amp; WC (500Ha)'!W24+V43</f>
        <v>0</v>
      </c>
    </row>
    <row r="44" spans="2:23" x14ac:dyDescent="0.2">
      <c r="B44" s="27" t="s">
        <v>367</v>
      </c>
      <c r="D44" s="123">
        <f>+'Finance (500Ha)'!D20</f>
        <v>0</v>
      </c>
      <c r="E44" s="123">
        <f>+'Finance (500Ha)'!E20</f>
        <v>17735.239062500001</v>
      </c>
      <c r="F44" s="123">
        <f>+'Finance (500Ha)'!F20</f>
        <v>22483.9296875</v>
      </c>
      <c r="G44" s="123">
        <f>+'Finance (500Ha)'!G20</f>
        <v>25986.6796875</v>
      </c>
      <c r="H44" s="123">
        <f>+'Finance (500Ha)'!H20</f>
        <v>-36157.84375</v>
      </c>
      <c r="I44" s="123">
        <f>+'Finance (500Ha)'!I20</f>
        <v>-162718.91875000001</v>
      </c>
      <c r="J44" s="123">
        <f>+'Finance (500Ha)'!J20</f>
        <v>-354406.70937499998</v>
      </c>
      <c r="K44" s="123">
        <f>+'Finance (500Ha)'!K20</f>
        <v>-594982.64375000005</v>
      </c>
      <c r="L44" s="123">
        <f>+'Finance (500Ha)'!L20</f>
        <v>-867832.64375000005</v>
      </c>
      <c r="M44" s="123">
        <f>+'Finance (500Ha)'!M20</f>
        <v>-1172782.64375</v>
      </c>
      <c r="N44" s="123">
        <f>+'Finance (500Ha)'!N20</f>
        <v>-1477732.64375</v>
      </c>
      <c r="O44" s="123">
        <f>+'Finance (500Ha)'!O20</f>
        <v>-1782682.64375</v>
      </c>
      <c r="P44" s="123">
        <f>+'Finance (500Ha)'!P20</f>
        <v>-2087632.64375</v>
      </c>
      <c r="Q44" s="123">
        <f>+'Finance (500Ha)'!Q20</f>
        <v>-2392582.6437499998</v>
      </c>
      <c r="R44" s="123">
        <f>+'Finance (500Ha)'!R20</f>
        <v>-2697532.6437499998</v>
      </c>
      <c r="S44" s="123">
        <f>+'Finance (500Ha)'!S20</f>
        <v>0</v>
      </c>
      <c r="T44" s="123">
        <f>+'Finance (500Ha)'!T20</f>
        <v>0</v>
      </c>
      <c r="U44" s="123">
        <f>+'Finance (500Ha)'!U20</f>
        <v>0</v>
      </c>
      <c r="V44" s="123">
        <f>+'Finance (500Ha)'!V20</f>
        <v>0</v>
      </c>
      <c r="W44" s="123">
        <f>+'Finance (500Ha)'!W20</f>
        <v>0</v>
      </c>
    </row>
    <row r="45" spans="2:23" x14ac:dyDescent="0.2">
      <c r="B45" s="27" t="s">
        <v>218</v>
      </c>
      <c r="D45" s="123">
        <f>+'P&amp;L (500Ha)'!D48</f>
        <v>0</v>
      </c>
      <c r="E45" s="123">
        <f>+'P&amp;L (500Ha)'!E48+D45</f>
        <v>-241844.16575069021</v>
      </c>
      <c r="F45" s="123">
        <f>+'P&amp;L (500Ha)'!F48+E45</f>
        <v>-387213.75666399044</v>
      </c>
      <c r="G45" s="123">
        <f>+'P&amp;L (500Ha)'!G48+F45</f>
        <v>-537178.22163621872</v>
      </c>
      <c r="H45" s="123">
        <f>+'P&amp;L (500Ha)'!H48+G45</f>
        <v>-536241.4916249935</v>
      </c>
      <c r="I45" s="123">
        <f>+'P&amp;L (500Ha)'!I48+H45</f>
        <v>-677906.68480046699</v>
      </c>
      <c r="J45" s="123">
        <f>+'P&amp;L (500Ha)'!J48+I45</f>
        <v>-657506.87797594047</v>
      </c>
      <c r="K45" s="123">
        <f>+'P&amp;L (500Ha)'!K48+J45</f>
        <v>-511639.57115141395</v>
      </c>
      <c r="L45" s="123">
        <f>+'P&amp;L (500Ha)'!L48+K45</f>
        <v>-283956.01432688744</v>
      </c>
      <c r="M45" s="123">
        <f>+'P&amp;L (500Ha)'!M48+L45</f>
        <v>27829.729997639079</v>
      </c>
      <c r="N45" s="123">
        <f>+'P&amp;L (500Ha)'!N48+M45</f>
        <v>353265.7868221656</v>
      </c>
      <c r="O45" s="123">
        <f>+'P&amp;L (500Ha)'!O48+N45</f>
        <v>679529.13531335874</v>
      </c>
      <c r="P45" s="123">
        <f>+'P&amp;L (500Ha)'!P48+O45</f>
        <v>1009928.9421378853</v>
      </c>
      <c r="Q45" s="123">
        <f>+'P&amp;L (500Ha)'!Q48+P45</f>
        <v>1337019.5822957451</v>
      </c>
      <c r="R45" s="123">
        <f>+'P&amp;L (500Ha)'!R48+Q45</f>
        <v>1658112.3578702717</v>
      </c>
      <c r="S45" s="123">
        <f>+'P&amp;L (500Ha)'!S48+R45</f>
        <v>1976832.7529300922</v>
      </c>
      <c r="T45" s="123">
        <f>+'P&amp;L (500Ha)'!T48+S45</f>
        <v>2293444.3653101744</v>
      </c>
      <c r="U45" s="123">
        <f>+'P&amp;L (500Ha)'!U48+T45</f>
        <v>2602944.1721347012</v>
      </c>
      <c r="V45" s="123">
        <f>+'P&amp;L (500Ha)'!V48+U45</f>
        <v>2913488.9789592279</v>
      </c>
      <c r="W45" s="123">
        <f>+'P&amp;L (500Ha)'!W48+V45</f>
        <v>3224033.7857837547</v>
      </c>
    </row>
    <row r="46" spans="2:23" x14ac:dyDescent="0.2">
      <c r="B46" s="27"/>
    </row>
    <row r="47" spans="2:23" s="1" customFormat="1" x14ac:dyDescent="0.2">
      <c r="B47" s="44" t="s">
        <v>219</v>
      </c>
      <c r="D47" s="74">
        <f t="shared" ref="D47:W47" si="6">SUM(D43:D45)</f>
        <v>0</v>
      </c>
      <c r="E47" s="74">
        <f t="shared" si="6"/>
        <v>-224108.9266881902</v>
      </c>
      <c r="F47" s="74">
        <f t="shared" si="6"/>
        <v>-364729.82697649044</v>
      </c>
      <c r="G47" s="74">
        <f t="shared" si="6"/>
        <v>-511191.54194871872</v>
      </c>
      <c r="H47" s="74">
        <f t="shared" si="6"/>
        <v>-572399.3353749935</v>
      </c>
      <c r="I47" s="74">
        <f t="shared" si="6"/>
        <v>-840625.60355046694</v>
      </c>
      <c r="J47" s="74">
        <f t="shared" si="6"/>
        <v>-1011913.5873509404</v>
      </c>
      <c r="K47" s="74">
        <f t="shared" si="6"/>
        <v>-1106622.214901414</v>
      </c>
      <c r="L47" s="74">
        <f t="shared" si="6"/>
        <v>-1151788.6580768875</v>
      </c>
      <c r="M47" s="74">
        <f t="shared" si="6"/>
        <v>-1144952.913752361</v>
      </c>
      <c r="N47" s="74">
        <f t="shared" si="6"/>
        <v>-1124466.8569278345</v>
      </c>
      <c r="O47" s="74">
        <f t="shared" si="6"/>
        <v>-1103153.5084366412</v>
      </c>
      <c r="P47" s="74">
        <f t="shared" si="6"/>
        <v>-1077703.7016121149</v>
      </c>
      <c r="Q47" s="74">
        <f t="shared" si="6"/>
        <v>-1055563.0614542547</v>
      </c>
      <c r="R47" s="74">
        <f t="shared" si="6"/>
        <v>-1039420.2858797282</v>
      </c>
      <c r="S47" s="74">
        <f t="shared" si="6"/>
        <v>1976832.7529300922</v>
      </c>
      <c r="T47" s="74">
        <f t="shared" si="6"/>
        <v>2293444.3653101744</v>
      </c>
      <c r="U47" s="74">
        <f t="shared" si="6"/>
        <v>2602944.1721347012</v>
      </c>
      <c r="V47" s="74">
        <f t="shared" si="6"/>
        <v>2913488.9789592279</v>
      </c>
      <c r="W47" s="74">
        <f t="shared" si="6"/>
        <v>3224033.7857837547</v>
      </c>
    </row>
    <row r="48" spans="2:23" x14ac:dyDescent="0.2">
      <c r="B48" s="27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</row>
    <row r="49" spans="2:23" x14ac:dyDescent="0.2">
      <c r="B49" s="27"/>
      <c r="D49" s="123">
        <f t="shared" ref="D49:W49" si="7">+D47-D39</f>
        <v>0</v>
      </c>
      <c r="E49" s="123">
        <f t="shared" si="7"/>
        <v>0</v>
      </c>
      <c r="F49" s="123">
        <f t="shared" si="7"/>
        <v>0</v>
      </c>
      <c r="G49" s="123">
        <f t="shared" si="7"/>
        <v>0</v>
      </c>
      <c r="H49" s="123">
        <f t="shared" si="7"/>
        <v>0</v>
      </c>
      <c r="I49" s="123">
        <f t="shared" si="7"/>
        <v>0</v>
      </c>
      <c r="J49" s="123">
        <f t="shared" si="7"/>
        <v>0</v>
      </c>
      <c r="K49" s="123">
        <f t="shared" si="7"/>
        <v>0</v>
      </c>
      <c r="L49" s="123">
        <f t="shared" si="7"/>
        <v>0</v>
      </c>
      <c r="M49" s="123">
        <f t="shared" si="7"/>
        <v>0</v>
      </c>
      <c r="N49" s="123">
        <f t="shared" si="7"/>
        <v>0</v>
      </c>
      <c r="O49" s="123">
        <f t="shared" si="7"/>
        <v>0</v>
      </c>
      <c r="P49" s="123">
        <f t="shared" si="7"/>
        <v>0</v>
      </c>
      <c r="Q49" s="123">
        <f t="shared" si="7"/>
        <v>0</v>
      </c>
      <c r="R49" s="123">
        <f t="shared" si="7"/>
        <v>1.3969838619232178E-9</v>
      </c>
      <c r="S49" s="123">
        <f t="shared" si="7"/>
        <v>0</v>
      </c>
      <c r="T49" s="123">
        <f t="shared" si="7"/>
        <v>0</v>
      </c>
      <c r="U49" s="123">
        <f t="shared" si="7"/>
        <v>0</v>
      </c>
      <c r="V49" s="123">
        <f t="shared" si="7"/>
        <v>0</v>
      </c>
      <c r="W49" s="123">
        <f t="shared" si="7"/>
        <v>0</v>
      </c>
    </row>
    <row r="50" spans="2:23" x14ac:dyDescent="0.2">
      <c r="B50" s="27"/>
    </row>
    <row r="51" spans="2:23" x14ac:dyDescent="0.2">
      <c r="B51" s="27"/>
    </row>
    <row r="52" spans="2:23" x14ac:dyDescent="0.2">
      <c r="B52" s="27"/>
    </row>
    <row r="53" spans="2:23" x14ac:dyDescent="0.2">
      <c r="B53" s="27"/>
    </row>
    <row r="54" spans="2:23" x14ac:dyDescent="0.2">
      <c r="B54" s="27"/>
    </row>
    <row r="58" spans="2:23" x14ac:dyDescent="0.2"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</row>
    <row r="59" spans="2:23" x14ac:dyDescent="0.2"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</row>
    <row r="60" spans="2:23" x14ac:dyDescent="0.2"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</row>
    <row r="61" spans="2:23" x14ac:dyDescent="0.2"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</row>
    <row r="62" spans="2:23" x14ac:dyDescent="0.2"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</row>
    <row r="63" spans="2:23" x14ac:dyDescent="0.2"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</row>
    <row r="64" spans="2:23" x14ac:dyDescent="0.2"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4:23" x14ac:dyDescent="0.2"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4:23" x14ac:dyDescent="0.2"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4:23" x14ac:dyDescent="0.2"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</row>
    <row r="68" spans="4:23" x14ac:dyDescent="0.2"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</row>
    <row r="69" spans="4:23" x14ac:dyDescent="0.2"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</row>
    <row r="70" spans="4:23" x14ac:dyDescent="0.2"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</row>
    <row r="71" spans="4:23" x14ac:dyDescent="0.2"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</row>
    <row r="72" spans="4:23" x14ac:dyDescent="0.2"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</row>
    <row r="73" spans="4:23" x14ac:dyDescent="0.2"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5" spans="4:23" x14ac:dyDescent="0.2"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</row>
    <row r="76" spans="4:23" x14ac:dyDescent="0.2"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</row>
    <row r="78" spans="4:23" x14ac:dyDescent="0.2"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</row>
    <row r="79" spans="4:23" x14ac:dyDescent="0.2"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</row>
    <row r="81" spans="4:4" x14ac:dyDescent="0.2">
      <c r="D81" s="4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W68"/>
  <sheetViews>
    <sheetView showGridLines="0" topLeftCell="B1" zoomScaleNormal="100" workbookViewId="0">
      <pane xSplit="1" ySplit="4" topLeftCell="M5" activePane="bottomRight" state="frozen"/>
      <selection activeCell="D34" sqref="D34"/>
      <selection pane="topRight" activeCell="D34" sqref="D34"/>
      <selection pane="bottomLeft" activeCell="D34" sqref="D34"/>
      <selection pane="bottomRight" activeCell="W18" sqref="W18"/>
    </sheetView>
  </sheetViews>
  <sheetFormatPr defaultRowHeight="12.75" x14ac:dyDescent="0.2"/>
  <cols>
    <col min="1" max="1" width="9.140625" style="129"/>
    <col min="2" max="2" width="40.42578125" style="129" customWidth="1"/>
    <col min="3" max="3" width="9.140625" style="129"/>
    <col min="4" max="23" width="15.7109375" style="129" customWidth="1"/>
    <col min="24" max="16384" width="9.140625" style="129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261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129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6" spans="2:23" x14ac:dyDescent="0.2">
      <c r="B6" s="38" t="s">
        <v>282</v>
      </c>
    </row>
    <row r="8" spans="2:23" x14ac:dyDescent="0.2">
      <c r="B8" s="41" t="s">
        <v>184</v>
      </c>
      <c r="C8" s="41"/>
      <c r="D8" s="42">
        <f>+'P&amp;L (500Ha)'!D32</f>
        <v>0</v>
      </c>
      <c r="E8" s="42">
        <f>+'P&amp;L (500Ha)'!E32</f>
        <v>-241844.16575069021</v>
      </c>
      <c r="F8" s="42">
        <f>+'P&amp;L (500Ha)'!F32</f>
        <v>-145369.59091330026</v>
      </c>
      <c r="G8" s="42">
        <f>+'P&amp;L (500Ha)'!G32</f>
        <v>-149964.46497222834</v>
      </c>
      <c r="H8" s="42">
        <f>+'P&amp;L (500Ha)'!H32</f>
        <v>936.73001122518326</v>
      </c>
      <c r="I8" s="42">
        <f>+'P&amp;L (500Ha)'!I32</f>
        <v>-141665.19317547348</v>
      </c>
      <c r="J8" s="42">
        <f>+'P&amp;L (500Ha)'!J32</f>
        <v>20399.806824526517</v>
      </c>
      <c r="K8" s="42">
        <f>+'P&amp;L (500Ha)'!K32</f>
        <v>145867.30682452652</v>
      </c>
      <c r="L8" s="42">
        <f>+'P&amp;L (500Ha)'!L32</f>
        <v>227683.55682452652</v>
      </c>
      <c r="M8" s="42">
        <f>+'P&amp;L (500Ha)'!M32</f>
        <v>311785.74432452652</v>
      </c>
      <c r="N8" s="42">
        <f>+'P&amp;L (500Ha)'!N32</f>
        <v>325436.05682452652</v>
      </c>
      <c r="O8" s="42">
        <f>+'P&amp;L (500Ha)'!O32</f>
        <v>326263.34849119314</v>
      </c>
      <c r="P8" s="42">
        <f>+'P&amp;L (500Ha)'!P32</f>
        <v>330399.80682452652</v>
      </c>
      <c r="Q8" s="42">
        <f>+'P&amp;L (500Ha)'!Q32</f>
        <v>327090.64015785989</v>
      </c>
      <c r="R8" s="42">
        <f>+'P&amp;L (500Ha)'!R32</f>
        <v>321092.77557452652</v>
      </c>
      <c r="S8" s="42">
        <f>+'P&amp;L (500Ha)'!S32</f>
        <v>318720.39505982061</v>
      </c>
      <c r="T8" s="42">
        <f>+'P&amp;L (500Ha)'!T32</f>
        <v>316611.61238008214</v>
      </c>
      <c r="U8" s="42">
        <f>+'P&amp;L (500Ha)'!U32</f>
        <v>309499.80682452652</v>
      </c>
      <c r="V8" s="42">
        <f>+'P&amp;L (500Ha)'!V32</f>
        <v>310544.80682452652</v>
      </c>
      <c r="W8" s="42">
        <f>+'P&amp;L (500Ha)'!W32</f>
        <v>310544.80682452652</v>
      </c>
    </row>
    <row r="10" spans="2:23" x14ac:dyDescent="0.2">
      <c r="B10" s="129" t="s">
        <v>510</v>
      </c>
      <c r="D10" s="123">
        <f>+'P&amp;L (500Ha)'!D30</f>
        <v>0</v>
      </c>
      <c r="E10" s="123">
        <f>+'P&amp;L (500Ha)'!E30</f>
        <v>80614.721916896742</v>
      </c>
      <c r="F10" s="123">
        <f>+'P&amp;L (500Ha)'!F30</f>
        <v>102199.67824903125</v>
      </c>
      <c r="G10" s="123">
        <f>+'P&amp;L (500Ha)'!G30</f>
        <v>118121.27382343028</v>
      </c>
      <c r="H10" s="123">
        <f>+'P&amp;L (500Ha)'!H30</f>
        <v>130126.60332210816</v>
      </c>
      <c r="I10" s="123">
        <f>+'P&amp;L (500Ha)'!I30</f>
        <v>130126.60332210816</v>
      </c>
      <c r="J10" s="123">
        <f>+'P&amp;L (500Ha)'!J30</f>
        <v>130126.60332210816</v>
      </c>
      <c r="K10" s="123">
        <f>+'P&amp;L (500Ha)'!K30</f>
        <v>130126.60332210816</v>
      </c>
      <c r="L10" s="123">
        <f>+'P&amp;L (500Ha)'!L30</f>
        <v>130126.60332210816</v>
      </c>
      <c r="M10" s="123">
        <f>+'P&amp;L (500Ha)'!M30</f>
        <v>130126.60332210816</v>
      </c>
      <c r="N10" s="123">
        <f>+'P&amp;L (500Ha)'!N30</f>
        <v>130126.60332210816</v>
      </c>
      <c r="O10" s="123">
        <f>+'P&amp;L (500Ha)'!O30</f>
        <v>130126.60332210816</v>
      </c>
      <c r="P10" s="123">
        <f>+'P&amp;L (500Ha)'!P30</f>
        <v>130126.60332210816</v>
      </c>
      <c r="Q10" s="123">
        <f>+'P&amp;L (500Ha)'!Q30</f>
        <v>130126.60332210816</v>
      </c>
      <c r="R10" s="123">
        <f>+'P&amp;L (500Ha)'!R30</f>
        <v>130126.60332210816</v>
      </c>
      <c r="S10" s="123">
        <f>+'P&amp;L (500Ha)'!S30</f>
        <v>130126.60332210816</v>
      </c>
      <c r="T10" s="123">
        <f>+'P&amp;L (500Ha)'!T30</f>
        <v>130126.60332210816</v>
      </c>
      <c r="U10" s="123">
        <f>+'P&amp;L (500Ha)'!U30</f>
        <v>130126.60332210816</v>
      </c>
      <c r="V10" s="123">
        <f>+'P&amp;L (500Ha)'!V30</f>
        <v>130126.60332210816</v>
      </c>
      <c r="W10" s="123">
        <f>+'P&amp;L (500Ha)'!W30</f>
        <v>130126.60332210816</v>
      </c>
    </row>
    <row r="11" spans="2:23" x14ac:dyDescent="0.2">
      <c r="B11" s="129" t="s">
        <v>377</v>
      </c>
    </row>
    <row r="12" spans="2:23" x14ac:dyDescent="0.2">
      <c r="B12" s="129" t="s">
        <v>378</v>
      </c>
    </row>
    <row r="13" spans="2:23" x14ac:dyDescent="0.2">
      <c r="B13" s="129" t="s">
        <v>379</v>
      </c>
      <c r="D13" s="126">
        <f>+D66</f>
        <v>0</v>
      </c>
      <c r="E13" s="123">
        <f t="shared" ref="E13:W13" si="1">+E66</f>
        <v>0</v>
      </c>
      <c r="F13" s="123">
        <f t="shared" si="1"/>
        <v>0</v>
      </c>
      <c r="G13" s="123">
        <f t="shared" si="1"/>
        <v>0</v>
      </c>
      <c r="H13" s="123">
        <f t="shared" si="1"/>
        <v>0</v>
      </c>
      <c r="I13" s="123">
        <f t="shared" si="1"/>
        <v>0</v>
      </c>
      <c r="J13" s="123">
        <f t="shared" si="1"/>
        <v>0</v>
      </c>
      <c r="K13" s="123">
        <f t="shared" si="1"/>
        <v>0</v>
      </c>
      <c r="L13" s="123">
        <f t="shared" si="1"/>
        <v>0</v>
      </c>
      <c r="M13" s="123">
        <f t="shared" si="1"/>
        <v>0</v>
      </c>
      <c r="N13" s="123">
        <f t="shared" si="1"/>
        <v>0</v>
      </c>
      <c r="O13" s="123">
        <f t="shared" si="1"/>
        <v>0</v>
      </c>
      <c r="P13" s="123">
        <f t="shared" si="1"/>
        <v>0</v>
      </c>
      <c r="Q13" s="123">
        <f t="shared" si="1"/>
        <v>0</v>
      </c>
      <c r="R13" s="123">
        <f t="shared" si="1"/>
        <v>0</v>
      </c>
      <c r="S13" s="123">
        <f t="shared" si="1"/>
        <v>0</v>
      </c>
      <c r="T13" s="123">
        <f t="shared" si="1"/>
        <v>0</v>
      </c>
      <c r="U13" s="123">
        <f t="shared" si="1"/>
        <v>0</v>
      </c>
      <c r="V13" s="123">
        <f t="shared" si="1"/>
        <v>0</v>
      </c>
      <c r="W13" s="123">
        <f t="shared" si="1"/>
        <v>0</v>
      </c>
    </row>
    <row r="15" spans="2:23" x14ac:dyDescent="0.2">
      <c r="B15" s="129" t="s">
        <v>262</v>
      </c>
      <c r="D15" s="123">
        <f>+D8+SUM(D10:D11)+SUM(D13)</f>
        <v>0</v>
      </c>
      <c r="E15" s="123">
        <f t="shared" ref="E15:W15" si="2">+E8+SUM(E10:E11)+SUM(E13)</f>
        <v>-161229.44383379346</v>
      </c>
      <c r="F15" s="123">
        <f t="shared" si="2"/>
        <v>-43169.91266426901</v>
      </c>
      <c r="G15" s="123">
        <f t="shared" si="2"/>
        <v>-31843.191148798054</v>
      </c>
      <c r="H15" s="123">
        <f t="shared" si="2"/>
        <v>131063.33333333334</v>
      </c>
      <c r="I15" s="123">
        <f t="shared" si="2"/>
        <v>-11538.589853365324</v>
      </c>
      <c r="J15" s="123">
        <f t="shared" si="2"/>
        <v>150526.41014663468</v>
      </c>
      <c r="K15" s="123">
        <f t="shared" si="2"/>
        <v>275993.91014663468</v>
      </c>
      <c r="L15" s="123">
        <f t="shared" si="2"/>
        <v>357810.16014663468</v>
      </c>
      <c r="M15" s="123">
        <f t="shared" si="2"/>
        <v>441912.34764663468</v>
      </c>
      <c r="N15" s="123">
        <f t="shared" si="2"/>
        <v>455562.66014663468</v>
      </c>
      <c r="O15" s="123">
        <f t="shared" si="2"/>
        <v>456389.9518133013</v>
      </c>
      <c r="P15" s="123">
        <f t="shared" si="2"/>
        <v>460526.41014663468</v>
      </c>
      <c r="Q15" s="123">
        <f t="shared" si="2"/>
        <v>457217.24347996805</v>
      </c>
      <c r="R15" s="123">
        <f t="shared" si="2"/>
        <v>451219.37889663468</v>
      </c>
      <c r="S15" s="123">
        <f t="shared" si="2"/>
        <v>448846.99838192877</v>
      </c>
      <c r="T15" s="123">
        <f t="shared" si="2"/>
        <v>446738.2157021903</v>
      </c>
      <c r="U15" s="123">
        <f t="shared" si="2"/>
        <v>439626.41014663468</v>
      </c>
      <c r="V15" s="123">
        <f t="shared" si="2"/>
        <v>440671.41014663468</v>
      </c>
      <c r="W15" s="123">
        <f t="shared" si="2"/>
        <v>440671.41014663468</v>
      </c>
    </row>
    <row r="17" spans="2:23" x14ac:dyDescent="0.2">
      <c r="B17" s="129" t="s">
        <v>283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0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</row>
    <row r="18" spans="2:23" x14ac:dyDescent="0.2">
      <c r="B18" s="129" t="s">
        <v>284</v>
      </c>
      <c r="D18" s="123">
        <f>-(+'Total Revenue &amp; Costs (500Ha)'!D17)</f>
        <v>0</v>
      </c>
      <c r="E18" s="123">
        <f>-(+'Total Revenue &amp; Costs (500Ha)'!E17)</f>
        <v>-1612294.4383379347</v>
      </c>
      <c r="F18" s="123">
        <f>-(+'Total Revenue &amp; Costs (500Ha)'!F17)</f>
        <v>-431699.12664269004</v>
      </c>
      <c r="G18" s="123">
        <f>-(+'Total Revenue &amp; Costs (500Ha)'!G17)</f>
        <v>-318431.91148798069</v>
      </c>
      <c r="H18" s="123">
        <f>-(+'Total Revenue &amp; Costs (500Ha)'!H17)</f>
        <v>-240106.58997355765</v>
      </c>
      <c r="I18" s="123">
        <f>-(+'Total Revenue &amp; Costs (500Ha)'!I17)</f>
        <v>0</v>
      </c>
      <c r="J18" s="123">
        <f>-(+'Total Revenue &amp; Costs (500Ha)'!J17)</f>
        <v>0</v>
      </c>
      <c r="K18" s="123">
        <f>-(+'Total Revenue &amp; Costs (500Ha)'!K17)</f>
        <v>0</v>
      </c>
      <c r="L18" s="123">
        <f>-(+'Total Revenue &amp; Costs (500Ha)'!L17)</f>
        <v>0</v>
      </c>
      <c r="M18" s="123">
        <f>-(+'Total Revenue &amp; Costs (500Ha)'!M17)</f>
        <v>0</v>
      </c>
      <c r="N18" s="123">
        <f>-(+'Total Revenue &amp; Costs (500Ha)'!N17)</f>
        <v>0</v>
      </c>
      <c r="O18" s="123">
        <f>-(+'Total Revenue &amp; Costs (500Ha)'!O17)</f>
        <v>0</v>
      </c>
      <c r="P18" s="123">
        <f>-(+'Total Revenue &amp; Costs (500Ha)'!P17)</f>
        <v>0</v>
      </c>
      <c r="Q18" s="123">
        <f>-(+'Total Revenue &amp; Costs (500Ha)'!Q17)</f>
        <v>0</v>
      </c>
      <c r="R18" s="123">
        <f>-(+'Total Revenue &amp; Costs (500Ha)'!R17)</f>
        <v>0</v>
      </c>
      <c r="S18" s="123">
        <f>-(+'Total Revenue &amp; Costs (500Ha)'!S17)</f>
        <v>0</v>
      </c>
      <c r="T18" s="123">
        <f>-(+'Total Revenue &amp; Costs (500Ha)'!T17)</f>
        <v>0</v>
      </c>
      <c r="U18" s="123">
        <f>-(+'Total Revenue &amp; Costs (500Ha)'!U17)</f>
        <v>0</v>
      </c>
      <c r="V18" s="123">
        <f>-(+'Total Revenue &amp; Costs (500Ha)'!V17)</f>
        <v>0</v>
      </c>
      <c r="W18" s="123">
        <f>-(+'Total Revenue &amp; Costs (500Ha)'!W17)</f>
        <v>0</v>
      </c>
    </row>
    <row r="19" spans="2:23" x14ac:dyDescent="0.2">
      <c r="B19" s="129" t="s">
        <v>285</v>
      </c>
    </row>
    <row r="21" spans="2:23" x14ac:dyDescent="0.2">
      <c r="B21" s="41" t="s">
        <v>263</v>
      </c>
      <c r="C21" s="41"/>
      <c r="D21" s="42">
        <f t="shared" ref="D21:W21" si="3">+D15+SUM(D17:D19)</f>
        <v>0</v>
      </c>
      <c r="E21" s="42">
        <f t="shared" si="3"/>
        <v>-1773523.8821717282</v>
      </c>
      <c r="F21" s="42">
        <f t="shared" si="3"/>
        <v>-474869.03930695902</v>
      </c>
      <c r="G21" s="42">
        <f t="shared" si="3"/>
        <v>-350275.10263677873</v>
      </c>
      <c r="H21" s="42">
        <f t="shared" si="3"/>
        <v>-109043.25664022431</v>
      </c>
      <c r="I21" s="42">
        <f t="shared" si="3"/>
        <v>-11538.589853365324</v>
      </c>
      <c r="J21" s="42">
        <f t="shared" si="3"/>
        <v>150526.41014663468</v>
      </c>
      <c r="K21" s="42">
        <f t="shared" si="3"/>
        <v>275993.91014663468</v>
      </c>
      <c r="L21" s="42">
        <f t="shared" si="3"/>
        <v>357810.16014663468</v>
      </c>
      <c r="M21" s="42">
        <f t="shared" si="3"/>
        <v>441912.34764663468</v>
      </c>
      <c r="N21" s="42">
        <f t="shared" si="3"/>
        <v>455562.66014663468</v>
      </c>
      <c r="O21" s="42">
        <f t="shared" si="3"/>
        <v>456389.9518133013</v>
      </c>
      <c r="P21" s="42">
        <f t="shared" si="3"/>
        <v>460526.41014663468</v>
      </c>
      <c r="Q21" s="42">
        <f t="shared" si="3"/>
        <v>457217.24347996805</v>
      </c>
      <c r="R21" s="42">
        <f t="shared" si="3"/>
        <v>451219.37889663468</v>
      </c>
      <c r="S21" s="42">
        <f t="shared" si="3"/>
        <v>448846.99838192877</v>
      </c>
      <c r="T21" s="42">
        <f t="shared" si="3"/>
        <v>446738.2157021903</v>
      </c>
      <c r="U21" s="42">
        <f t="shared" si="3"/>
        <v>439626.41014663468</v>
      </c>
      <c r="V21" s="42">
        <f t="shared" si="3"/>
        <v>440671.41014663468</v>
      </c>
      <c r="W21" s="42">
        <f t="shared" si="3"/>
        <v>440671.41014663468</v>
      </c>
    </row>
    <row r="23" spans="2:23" x14ac:dyDescent="0.2">
      <c r="B23" s="129" t="s">
        <v>505</v>
      </c>
    </row>
    <row r="24" spans="2:23" x14ac:dyDescent="0.2">
      <c r="B24" s="48" t="s">
        <v>286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</row>
    <row r="25" spans="2:23" x14ac:dyDescent="0.2">
      <c r="B25" s="38" t="s">
        <v>502</v>
      </c>
      <c r="D25" s="48">
        <f>+'Finance (500Ha)'!D13</f>
        <v>0</v>
      </c>
      <c r="E25" s="48">
        <f>+'Finance (500Ha)'!E13</f>
        <v>17735.239062500001</v>
      </c>
      <c r="F25" s="48">
        <f>+'Finance (500Ha)'!F13</f>
        <v>4748.6906250000002</v>
      </c>
      <c r="G25" s="48">
        <f>+'Finance (500Ha)'!G13</f>
        <v>3502.75</v>
      </c>
      <c r="H25" s="48">
        <f>+'Finance (500Ha)'!H13</f>
        <v>2055.4765625</v>
      </c>
      <c r="I25" s="48">
        <f>+'Finance (500Ha)'!I13</f>
        <v>1838.925</v>
      </c>
      <c r="J25" s="48">
        <f>+'Finance (500Ha)'!J13</f>
        <v>912.20937500000002</v>
      </c>
      <c r="K25" s="48">
        <f>+'Finance (500Ha)'!K13</f>
        <v>174.06562500000001</v>
      </c>
      <c r="L25" s="48">
        <f>+'Finance (500Ha)'!L13</f>
        <v>0</v>
      </c>
      <c r="M25" s="48">
        <f>+'Finance (500Ha)'!M13</f>
        <v>0</v>
      </c>
      <c r="N25" s="48">
        <f>+'Finance (500Ha)'!N13</f>
        <v>0</v>
      </c>
      <c r="O25" s="48">
        <f>+'Finance (500Ha)'!O13</f>
        <v>0</v>
      </c>
      <c r="P25" s="48">
        <f>+'Finance (500Ha)'!P13</f>
        <v>0</v>
      </c>
      <c r="Q25" s="48">
        <f>+'Finance (500Ha)'!Q13</f>
        <v>0</v>
      </c>
      <c r="R25" s="48">
        <f>+'Finance (500Ha)'!R13</f>
        <v>0</v>
      </c>
      <c r="S25" s="48">
        <f>+'Finance (500Ha)'!S13</f>
        <v>0</v>
      </c>
      <c r="T25" s="48">
        <f>+'Finance (500Ha)'!T13</f>
        <v>0</v>
      </c>
      <c r="U25" s="48">
        <f>+'Finance (500Ha)'!U13</f>
        <v>0</v>
      </c>
      <c r="V25" s="48">
        <f>+'Finance (500Ha)'!V13</f>
        <v>0</v>
      </c>
      <c r="W25" s="48">
        <f>+'Finance (500Ha)'!W13</f>
        <v>0</v>
      </c>
    </row>
    <row r="27" spans="2:23" x14ac:dyDescent="0.2">
      <c r="B27" s="129" t="s">
        <v>287</v>
      </c>
      <c r="D27" s="129">
        <v>0</v>
      </c>
      <c r="E27" s="123">
        <f>+'P&amp;L (500Ha)'!D41</f>
        <v>0</v>
      </c>
      <c r="F27" s="123">
        <f>+'P&amp;L (500Ha)'!E41</f>
        <v>0</v>
      </c>
      <c r="G27" s="123">
        <f>+'P&amp;L (500Ha)'!F41</f>
        <v>0</v>
      </c>
      <c r="H27" s="123">
        <f>+'P&amp;L (500Ha)'!G41</f>
        <v>0</v>
      </c>
      <c r="I27" s="123">
        <f>+'P&amp;L (500Ha)'!H41</f>
        <v>0</v>
      </c>
      <c r="J27" s="123">
        <f>+'P&amp;L (500Ha)'!I41</f>
        <v>0</v>
      </c>
      <c r="K27" s="123">
        <f>+'P&amp;L (500Ha)'!J41</f>
        <v>0</v>
      </c>
      <c r="L27" s="123">
        <f>+'P&amp;L (500Ha)'!K41</f>
        <v>0</v>
      </c>
      <c r="M27" s="123">
        <f>+'P&amp;L (500Ha)'!L41</f>
        <v>0</v>
      </c>
      <c r="N27" s="123">
        <f>+'P&amp;L (500Ha)'!M41</f>
        <v>0</v>
      </c>
      <c r="O27" s="123">
        <f>+'P&amp;L (500Ha)'!N41</f>
        <v>0</v>
      </c>
      <c r="P27" s="123">
        <f>+'P&amp;L (500Ha)'!O41</f>
        <v>0</v>
      </c>
      <c r="Q27" s="123">
        <f>+'P&amp;L (500Ha)'!P41</f>
        <v>0</v>
      </c>
      <c r="R27" s="123">
        <f>+'P&amp;L (500Ha)'!Q41</f>
        <v>0</v>
      </c>
      <c r="S27" s="123">
        <f>+'P&amp;L (500Ha)'!R41</f>
        <v>0</v>
      </c>
      <c r="T27" s="123">
        <f>+'P&amp;L (500Ha)'!S41</f>
        <v>0</v>
      </c>
      <c r="U27" s="123">
        <f>+'P&amp;L (500Ha)'!T41</f>
        <v>0</v>
      </c>
      <c r="V27" s="123">
        <f>+'P&amp;L (500Ha)'!U41</f>
        <v>0</v>
      </c>
      <c r="W27" s="123">
        <f>+'P&amp;L (500Ha)'!V41</f>
        <v>0</v>
      </c>
    </row>
    <row r="29" spans="2:23" x14ac:dyDescent="0.2">
      <c r="B29" s="41" t="s">
        <v>264</v>
      </c>
      <c r="D29" s="123">
        <f t="shared" ref="D29:W29" si="4">SUM(D21:D25)-D27</f>
        <v>0</v>
      </c>
      <c r="E29" s="123">
        <f t="shared" si="4"/>
        <v>-1755788.6431092282</v>
      </c>
      <c r="F29" s="123">
        <f t="shared" si="4"/>
        <v>-470120.34868195903</v>
      </c>
      <c r="G29" s="123">
        <f t="shared" si="4"/>
        <v>-346772.35263677873</v>
      </c>
      <c r="H29" s="123">
        <f t="shared" si="4"/>
        <v>-106987.78007772431</v>
      </c>
      <c r="I29" s="123">
        <f t="shared" si="4"/>
        <v>-9699.6648533653242</v>
      </c>
      <c r="J29" s="123">
        <f t="shared" si="4"/>
        <v>151438.61952163468</v>
      </c>
      <c r="K29" s="123">
        <f t="shared" si="4"/>
        <v>276167.97577163466</v>
      </c>
      <c r="L29" s="123">
        <f t="shared" si="4"/>
        <v>357810.16014663468</v>
      </c>
      <c r="M29" s="123">
        <f t="shared" si="4"/>
        <v>441912.34764663468</v>
      </c>
      <c r="N29" s="123">
        <f t="shared" si="4"/>
        <v>455562.66014663468</v>
      </c>
      <c r="O29" s="123">
        <f t="shared" si="4"/>
        <v>456389.9518133013</v>
      </c>
      <c r="P29" s="123">
        <f t="shared" si="4"/>
        <v>460526.41014663468</v>
      </c>
      <c r="Q29" s="123">
        <f t="shared" si="4"/>
        <v>457217.24347996805</v>
      </c>
      <c r="R29" s="123">
        <f t="shared" si="4"/>
        <v>451219.37889663468</v>
      </c>
      <c r="S29" s="123">
        <f t="shared" si="4"/>
        <v>448846.99838192877</v>
      </c>
      <c r="T29" s="123">
        <f t="shared" si="4"/>
        <v>446738.2157021903</v>
      </c>
      <c r="U29" s="123">
        <f t="shared" si="4"/>
        <v>439626.41014663468</v>
      </c>
      <c r="V29" s="123">
        <f t="shared" si="4"/>
        <v>440671.41014663468</v>
      </c>
      <c r="W29" s="123">
        <f t="shared" si="4"/>
        <v>440671.41014663468</v>
      </c>
    </row>
    <row r="30" spans="2:23" x14ac:dyDescent="0.2">
      <c r="B30" s="41"/>
    </row>
    <row r="31" spans="2:23" x14ac:dyDescent="0.2">
      <c r="B31" s="38" t="s">
        <v>506</v>
      </c>
      <c r="D31" s="48">
        <f>-'Finance (500Ha)'!D14</f>
        <v>0</v>
      </c>
      <c r="E31" s="48">
        <f>-'Finance (500Ha)'!E14</f>
        <v>0</v>
      </c>
      <c r="F31" s="48">
        <f>-'Finance (500Ha)'!F14</f>
        <v>0</v>
      </c>
      <c r="G31" s="48">
        <f>-'Finance (500Ha)'!G14</f>
        <v>0</v>
      </c>
      <c r="H31" s="48">
        <f>-'Finance (500Ha)'!H14</f>
        <v>64200</v>
      </c>
      <c r="I31" s="48">
        <f>-'Finance (500Ha)'!I14</f>
        <v>128400</v>
      </c>
      <c r="J31" s="48">
        <f>-'Finance (500Ha)'!J14</f>
        <v>192600</v>
      </c>
      <c r="K31" s="48">
        <f>-'Finance (500Ha)'!K14</f>
        <v>240750</v>
      </c>
      <c r="L31" s="48">
        <f>-'Finance (500Ha)'!L14</f>
        <v>272850</v>
      </c>
      <c r="M31" s="48">
        <f>-'Finance (500Ha)'!M14</f>
        <v>304950</v>
      </c>
      <c r="N31" s="48">
        <f>-'Finance (500Ha)'!N14</f>
        <v>304950</v>
      </c>
      <c r="O31" s="48">
        <f>-'Finance (500Ha)'!O14</f>
        <v>304950</v>
      </c>
      <c r="P31" s="48">
        <f>-'Finance (500Ha)'!P14</f>
        <v>304950</v>
      </c>
      <c r="Q31" s="48">
        <f>-'Finance (500Ha)'!Q14</f>
        <v>304950</v>
      </c>
      <c r="R31" s="48">
        <f>-'Finance (500Ha)'!R14</f>
        <v>304950</v>
      </c>
      <c r="S31" s="48">
        <f>-'Finance (500Ha)'!S14</f>
        <v>-2697532.6437499998</v>
      </c>
      <c r="T31" s="48">
        <f>-'Finance (500Ha)'!T14</f>
        <v>0</v>
      </c>
      <c r="U31" s="48">
        <f>-'Finance (500Ha)'!U14</f>
        <v>0</v>
      </c>
      <c r="V31" s="48">
        <f>-'Finance (500Ha)'!V14</f>
        <v>0</v>
      </c>
      <c r="W31" s="48">
        <f>-'Finance (500Ha)'!W14</f>
        <v>0</v>
      </c>
    </row>
    <row r="32" spans="2:23" x14ac:dyDescent="0.2">
      <c r="B32" s="38" t="s">
        <v>507</v>
      </c>
      <c r="D32" s="48">
        <f>+'Finance (500Ha)'!D18</f>
        <v>0</v>
      </c>
      <c r="E32" s="48">
        <f>+'Finance (500Ha)'!E18</f>
        <v>0</v>
      </c>
      <c r="F32" s="48">
        <f>+'Finance (500Ha)'!F18</f>
        <v>0</v>
      </c>
      <c r="G32" s="48">
        <f>+'Finance (500Ha)'!G18</f>
        <v>0</v>
      </c>
      <c r="H32" s="48">
        <f>+'Finance (500Ha)'!H18</f>
        <v>0</v>
      </c>
      <c r="I32" s="48">
        <f>+'Finance (500Ha)'!I18</f>
        <v>0</v>
      </c>
      <c r="J32" s="48">
        <f>+'Finance (500Ha)'!J18</f>
        <v>0</v>
      </c>
      <c r="K32" s="48">
        <f>+'Finance (500Ha)'!K18</f>
        <v>0</v>
      </c>
      <c r="L32" s="48">
        <f>+'Finance (500Ha)'!L18</f>
        <v>0</v>
      </c>
      <c r="M32" s="48">
        <f>+'Finance (500Ha)'!M18</f>
        <v>0</v>
      </c>
      <c r="N32" s="48">
        <f>+'Finance (500Ha)'!N18</f>
        <v>0</v>
      </c>
      <c r="O32" s="48">
        <f>+'Finance (500Ha)'!O18</f>
        <v>0</v>
      </c>
      <c r="P32" s="48">
        <f>+'Finance (500Ha)'!P18</f>
        <v>0</v>
      </c>
      <c r="Q32" s="48">
        <f>+'Finance (500Ha)'!Q18</f>
        <v>0</v>
      </c>
      <c r="R32" s="48">
        <f>+'Finance (500Ha)'!R18</f>
        <v>0</v>
      </c>
      <c r="S32" s="48">
        <f>+'Finance (500Ha)'!S18</f>
        <v>0</v>
      </c>
      <c r="T32" s="48">
        <f>+'Finance (500Ha)'!T18</f>
        <v>0</v>
      </c>
      <c r="U32" s="48">
        <f>+'Finance (500Ha)'!U18</f>
        <v>0</v>
      </c>
      <c r="V32" s="48">
        <f>+'Finance (500Ha)'!V18</f>
        <v>0</v>
      </c>
      <c r="W32" s="48">
        <f>+'Finance (500Ha)'!W18</f>
        <v>0</v>
      </c>
    </row>
    <row r="33" spans="2:23" x14ac:dyDescent="0.2">
      <c r="B33" s="41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2:23" x14ac:dyDescent="0.2">
      <c r="B34" s="41" t="s">
        <v>265</v>
      </c>
      <c r="D34" s="123">
        <f t="shared" ref="D34:W34" si="5">+D29-SUM(D31:D32)</f>
        <v>0</v>
      </c>
      <c r="E34" s="123">
        <f t="shared" si="5"/>
        <v>-1755788.6431092282</v>
      </c>
      <c r="F34" s="123">
        <f t="shared" si="5"/>
        <v>-470120.34868195903</v>
      </c>
      <c r="G34" s="123">
        <f t="shared" si="5"/>
        <v>-346772.35263677873</v>
      </c>
      <c r="H34" s="123">
        <f t="shared" si="5"/>
        <v>-171187.78007772431</v>
      </c>
      <c r="I34" s="123">
        <f t="shared" si="5"/>
        <v>-138099.66485336534</v>
      </c>
      <c r="J34" s="123">
        <f t="shared" si="5"/>
        <v>-41161.380478365318</v>
      </c>
      <c r="K34" s="123">
        <f t="shared" si="5"/>
        <v>35417.975771634665</v>
      </c>
      <c r="L34" s="123">
        <f t="shared" si="5"/>
        <v>84960.160146634676</v>
      </c>
      <c r="M34" s="123">
        <f t="shared" si="5"/>
        <v>136962.34764663468</v>
      </c>
      <c r="N34" s="123">
        <f t="shared" si="5"/>
        <v>150612.66014663468</v>
      </c>
      <c r="O34" s="123">
        <f t="shared" si="5"/>
        <v>151439.9518133013</v>
      </c>
      <c r="P34" s="123">
        <f t="shared" si="5"/>
        <v>155576.41014663468</v>
      </c>
      <c r="Q34" s="123">
        <f t="shared" si="5"/>
        <v>152267.24347996805</v>
      </c>
      <c r="R34" s="123">
        <f t="shared" si="5"/>
        <v>146269.37889663468</v>
      </c>
      <c r="S34" s="123">
        <f t="shared" si="5"/>
        <v>3146379.6421319284</v>
      </c>
      <c r="T34" s="123">
        <f t="shared" si="5"/>
        <v>446738.2157021903</v>
      </c>
      <c r="U34" s="123">
        <f t="shared" si="5"/>
        <v>439626.41014663468</v>
      </c>
      <c r="V34" s="123">
        <f t="shared" si="5"/>
        <v>440671.41014663468</v>
      </c>
      <c r="W34" s="123">
        <f t="shared" si="5"/>
        <v>440671.41014663468</v>
      </c>
    </row>
    <row r="36" spans="2:23" x14ac:dyDescent="0.2">
      <c r="B36" s="129" t="s">
        <v>266</v>
      </c>
      <c r="D36" s="129">
        <f>+'P&amp;L (500Ha)'!D45</f>
        <v>0</v>
      </c>
      <c r="E36" s="129">
        <f>+'P&amp;L (500Ha)'!E45</f>
        <v>0</v>
      </c>
      <c r="F36" s="129">
        <f>+'P&amp;L (500Ha)'!F45</f>
        <v>0</v>
      </c>
      <c r="G36" s="129">
        <f>+'P&amp;L (500Ha)'!G45</f>
        <v>0</v>
      </c>
      <c r="H36" s="129">
        <f>+'P&amp;L (500Ha)'!H45</f>
        <v>0</v>
      </c>
      <c r="I36" s="129">
        <f>+'P&amp;L (500Ha)'!I45</f>
        <v>0</v>
      </c>
      <c r="J36" s="129">
        <f>+'P&amp;L (500Ha)'!J45</f>
        <v>0</v>
      </c>
      <c r="K36" s="129">
        <f>+'P&amp;L (500Ha)'!K45</f>
        <v>0</v>
      </c>
      <c r="L36" s="129">
        <f>+'P&amp;L (500Ha)'!L45</f>
        <v>0</v>
      </c>
      <c r="M36" s="129">
        <f>+'P&amp;L (500Ha)'!M45</f>
        <v>0</v>
      </c>
      <c r="N36" s="129">
        <f>+'P&amp;L (500Ha)'!N45</f>
        <v>0</v>
      </c>
      <c r="O36" s="129">
        <f>+'P&amp;L (500Ha)'!O45</f>
        <v>0</v>
      </c>
      <c r="P36" s="129">
        <f>+'P&amp;L (500Ha)'!P45</f>
        <v>0</v>
      </c>
      <c r="Q36" s="129">
        <f>+'P&amp;L (500Ha)'!Q45</f>
        <v>0</v>
      </c>
      <c r="R36" s="129">
        <f>+'P&amp;L (500Ha)'!R45</f>
        <v>0</v>
      </c>
      <c r="S36" s="129">
        <f>+'P&amp;L (500Ha)'!S45</f>
        <v>0</v>
      </c>
      <c r="T36" s="129">
        <f>+'P&amp;L (500Ha)'!T45</f>
        <v>0</v>
      </c>
      <c r="U36" s="129">
        <f>+'P&amp;L (500Ha)'!U45</f>
        <v>0</v>
      </c>
      <c r="V36" s="129">
        <f>+'P&amp;L (500Ha)'!V45</f>
        <v>0</v>
      </c>
      <c r="W36" s="129">
        <f>+'P&amp;L (500Ha)'!W45</f>
        <v>0</v>
      </c>
    </row>
    <row r="37" spans="2:23" x14ac:dyDescent="0.2">
      <c r="B37" s="62"/>
    </row>
    <row r="38" spans="2:23" x14ac:dyDescent="0.2">
      <c r="B38" s="41" t="s">
        <v>267</v>
      </c>
      <c r="C38" s="41"/>
      <c r="D38" s="42">
        <f>+D34-D36</f>
        <v>0</v>
      </c>
      <c r="E38" s="42">
        <f>+E34-E36</f>
        <v>-1755788.6431092282</v>
      </c>
      <c r="F38" s="42">
        <f t="shared" ref="F38:W38" si="6">+F34-F36</f>
        <v>-470120.34868195903</v>
      </c>
      <c r="G38" s="42">
        <f t="shared" si="6"/>
        <v>-346772.35263677873</v>
      </c>
      <c r="H38" s="42">
        <f t="shared" si="6"/>
        <v>-171187.78007772431</v>
      </c>
      <c r="I38" s="42">
        <f t="shared" si="6"/>
        <v>-138099.66485336534</v>
      </c>
      <c r="J38" s="42">
        <f t="shared" si="6"/>
        <v>-41161.380478365318</v>
      </c>
      <c r="K38" s="42">
        <f>+K34-K36</f>
        <v>35417.975771634665</v>
      </c>
      <c r="L38" s="42">
        <f t="shared" si="6"/>
        <v>84960.160146634676</v>
      </c>
      <c r="M38" s="42">
        <f t="shared" si="6"/>
        <v>136962.34764663468</v>
      </c>
      <c r="N38" s="42">
        <f t="shared" si="6"/>
        <v>150612.66014663468</v>
      </c>
      <c r="O38" s="42">
        <f t="shared" si="6"/>
        <v>151439.9518133013</v>
      </c>
      <c r="P38" s="42">
        <f t="shared" si="6"/>
        <v>155576.41014663468</v>
      </c>
      <c r="Q38" s="42">
        <f t="shared" si="6"/>
        <v>152267.24347996805</v>
      </c>
      <c r="R38" s="42">
        <f t="shared" si="6"/>
        <v>146269.37889663468</v>
      </c>
      <c r="S38" s="42">
        <f t="shared" si="6"/>
        <v>3146379.6421319284</v>
      </c>
      <c r="T38" s="42">
        <f t="shared" si="6"/>
        <v>446738.2157021903</v>
      </c>
      <c r="U38" s="42">
        <f t="shared" si="6"/>
        <v>439626.41014663468</v>
      </c>
      <c r="V38" s="42">
        <f t="shared" si="6"/>
        <v>440671.41014663468</v>
      </c>
      <c r="W38" s="42">
        <f t="shared" si="6"/>
        <v>440671.41014663468</v>
      </c>
    </row>
    <row r="40" spans="2:23" x14ac:dyDescent="0.2">
      <c r="B40" s="129" t="s">
        <v>268</v>
      </c>
      <c r="D40" s="129">
        <v>0</v>
      </c>
      <c r="E40" s="123">
        <f>+D43</f>
        <v>0</v>
      </c>
      <c r="F40" s="123">
        <f t="shared" ref="F40:W40" si="7">+E43</f>
        <v>-1755788.6431092282</v>
      </c>
      <c r="G40" s="123">
        <f t="shared" si="7"/>
        <v>-2225908.9917911873</v>
      </c>
      <c r="H40" s="123">
        <f t="shared" si="7"/>
        <v>-2572681.344427966</v>
      </c>
      <c r="I40" s="123">
        <f t="shared" si="7"/>
        <v>-2743869.1245056903</v>
      </c>
      <c r="J40" s="123">
        <f t="shared" si="7"/>
        <v>-2881968.7893590555</v>
      </c>
      <c r="K40" s="123">
        <f t="shared" si="7"/>
        <v>-2923130.1698374208</v>
      </c>
      <c r="L40" s="123">
        <f t="shared" si="7"/>
        <v>-2887712.194065786</v>
      </c>
      <c r="M40" s="123">
        <f t="shared" si="7"/>
        <v>-2802752.0339191514</v>
      </c>
      <c r="N40" s="123">
        <f t="shared" si="7"/>
        <v>-2665789.6862725168</v>
      </c>
      <c r="O40" s="123">
        <f t="shared" si="7"/>
        <v>-2515177.0261258823</v>
      </c>
      <c r="P40" s="123">
        <f t="shared" si="7"/>
        <v>-2363737.0743125807</v>
      </c>
      <c r="Q40" s="123">
        <f t="shared" si="7"/>
        <v>-2208160.6641659462</v>
      </c>
      <c r="R40" s="123">
        <f t="shared" si="7"/>
        <v>-2055893.4206859781</v>
      </c>
      <c r="S40" s="123">
        <f t="shared" si="7"/>
        <v>-1909624.0417893436</v>
      </c>
      <c r="T40" s="123">
        <f t="shared" si="7"/>
        <v>1236755.6003425848</v>
      </c>
      <c r="U40" s="123">
        <f t="shared" si="7"/>
        <v>1683493.8160447751</v>
      </c>
      <c r="V40" s="123">
        <f t="shared" si="7"/>
        <v>2123120.2261914099</v>
      </c>
      <c r="W40" s="123">
        <f t="shared" si="7"/>
        <v>2563791.6363380444</v>
      </c>
    </row>
    <row r="41" spans="2:23" x14ac:dyDescent="0.2">
      <c r="B41" s="129" t="s">
        <v>269</v>
      </c>
    </row>
    <row r="43" spans="2:23" x14ac:dyDescent="0.2">
      <c r="B43" s="41" t="s">
        <v>270</v>
      </c>
      <c r="C43" s="41"/>
      <c r="D43" s="42">
        <f>+D38+D40+D41</f>
        <v>0</v>
      </c>
      <c r="E43" s="42">
        <f>+E38+E40+E41</f>
        <v>-1755788.6431092282</v>
      </c>
      <c r="F43" s="42">
        <f t="shared" ref="F43:W43" si="8">+F38+F40+F41</f>
        <v>-2225908.9917911873</v>
      </c>
      <c r="G43" s="42">
        <f t="shared" si="8"/>
        <v>-2572681.344427966</v>
      </c>
      <c r="H43" s="42">
        <f t="shared" si="8"/>
        <v>-2743869.1245056903</v>
      </c>
      <c r="I43" s="42">
        <f t="shared" si="8"/>
        <v>-2881968.7893590555</v>
      </c>
      <c r="J43" s="42">
        <f t="shared" si="8"/>
        <v>-2923130.1698374208</v>
      </c>
      <c r="K43" s="42">
        <f>+K38+K40+K41</f>
        <v>-2887712.194065786</v>
      </c>
      <c r="L43" s="42">
        <f t="shared" si="8"/>
        <v>-2802752.0339191514</v>
      </c>
      <c r="M43" s="42">
        <f t="shared" si="8"/>
        <v>-2665789.6862725168</v>
      </c>
      <c r="N43" s="42">
        <f t="shared" si="8"/>
        <v>-2515177.0261258823</v>
      </c>
      <c r="O43" s="42">
        <f t="shared" si="8"/>
        <v>-2363737.0743125807</v>
      </c>
      <c r="P43" s="42">
        <f t="shared" si="8"/>
        <v>-2208160.6641659462</v>
      </c>
      <c r="Q43" s="42">
        <f t="shared" si="8"/>
        <v>-2055893.4206859781</v>
      </c>
      <c r="R43" s="42">
        <f t="shared" si="8"/>
        <v>-1909624.0417893436</v>
      </c>
      <c r="S43" s="42">
        <f t="shared" si="8"/>
        <v>1236755.6003425848</v>
      </c>
      <c r="T43" s="42">
        <f t="shared" si="8"/>
        <v>1683493.8160447751</v>
      </c>
      <c r="U43" s="42">
        <f t="shared" si="8"/>
        <v>2123120.2261914099</v>
      </c>
      <c r="V43" s="42">
        <f t="shared" si="8"/>
        <v>2563791.6363380444</v>
      </c>
      <c r="W43" s="42">
        <f t="shared" si="8"/>
        <v>3004463.046484679</v>
      </c>
    </row>
    <row r="44" spans="2:23" x14ac:dyDescent="0.2"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2:23" x14ac:dyDescent="0.2">
      <c r="B45" s="41" t="s">
        <v>566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2:23" x14ac:dyDescent="0.2"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2:23" x14ac:dyDescent="0.2"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2:23" x14ac:dyDescent="0.2"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50" spans="2:23" x14ac:dyDescent="0.2">
      <c r="B50" s="41" t="s">
        <v>271</v>
      </c>
    </row>
    <row r="52" spans="2:23" x14ac:dyDescent="0.2">
      <c r="B52" s="129" t="s">
        <v>272</v>
      </c>
      <c r="D52" s="123">
        <f>-'Total Revenue &amp; Costs (500Ha)'!D37</f>
        <v>0</v>
      </c>
      <c r="E52" s="123">
        <f>-(+'Total Revenue &amp; Costs (500Ha)'!E37-'Total Revenue &amp; Costs (500Ha)'!D37)</f>
        <v>0</v>
      </c>
      <c r="F52" s="123">
        <f>-(+'Total Revenue &amp; Costs (500Ha)'!F37-'Total Revenue &amp; Costs (500Ha)'!E37)</f>
        <v>0</v>
      </c>
      <c r="G52" s="123">
        <f>-(+'Total Revenue &amp; Costs (500Ha)'!G37-'Total Revenue &amp; Costs (500Ha)'!F37)</f>
        <v>0</v>
      </c>
      <c r="H52" s="123">
        <f>-(+'Total Revenue &amp; Costs (500Ha)'!H37-'Total Revenue &amp; Costs (500Ha)'!G37)</f>
        <v>0</v>
      </c>
      <c r="I52" s="123">
        <f>-(+'Total Revenue &amp; Costs (500Ha)'!I37-'Total Revenue &amp; Costs (500Ha)'!H37)</f>
        <v>0</v>
      </c>
      <c r="J52" s="123">
        <f>-(+'Total Revenue &amp; Costs (500Ha)'!J37-'Total Revenue &amp; Costs (500Ha)'!I37)</f>
        <v>0</v>
      </c>
      <c r="K52" s="123">
        <f>-(+'Total Revenue &amp; Costs (500Ha)'!K37-'Total Revenue &amp; Costs (500Ha)'!J37)</f>
        <v>0</v>
      </c>
      <c r="L52" s="123">
        <f>-(+'Total Revenue &amp; Costs (500Ha)'!L37-'Total Revenue &amp; Costs (500Ha)'!K37)</f>
        <v>0</v>
      </c>
      <c r="M52" s="123">
        <f>-(+'Total Revenue &amp; Costs (500Ha)'!M37-'Total Revenue &amp; Costs (500Ha)'!L37)</f>
        <v>0</v>
      </c>
      <c r="N52" s="123">
        <f>-(+'Total Revenue &amp; Costs (500Ha)'!N37-'Total Revenue &amp; Costs (500Ha)'!M37)</f>
        <v>0</v>
      </c>
      <c r="O52" s="123">
        <f>-(+'Total Revenue &amp; Costs (500Ha)'!O37-'Total Revenue &amp; Costs (500Ha)'!N37)</f>
        <v>0</v>
      </c>
      <c r="P52" s="123">
        <f>-(+'Total Revenue &amp; Costs (500Ha)'!P37-'Total Revenue &amp; Costs (500Ha)'!O37)</f>
        <v>0</v>
      </c>
      <c r="Q52" s="123">
        <f>-(+'Total Revenue &amp; Costs (500Ha)'!Q37-'Total Revenue &amp; Costs (500Ha)'!P37)</f>
        <v>0</v>
      </c>
      <c r="R52" s="123">
        <f>-(+'Total Revenue &amp; Costs (500Ha)'!R37-'Total Revenue &amp; Costs (500Ha)'!Q37)</f>
        <v>0</v>
      </c>
      <c r="S52" s="123">
        <f>-(+'Total Revenue &amp; Costs (500Ha)'!S37-'Total Revenue &amp; Costs (500Ha)'!R37)</f>
        <v>0</v>
      </c>
      <c r="T52" s="123">
        <f>-(+'Total Revenue &amp; Costs (500Ha)'!T37-'Total Revenue &amp; Costs (500Ha)'!S37)</f>
        <v>0</v>
      </c>
      <c r="U52" s="123">
        <f>-(+'Total Revenue &amp; Costs (500Ha)'!U37-'Total Revenue &amp; Costs (500Ha)'!T37)</f>
        <v>0</v>
      </c>
      <c r="V52" s="123">
        <f>-(+'Total Revenue &amp; Costs (500Ha)'!V37-'Total Revenue &amp; Costs (500Ha)'!U37)</f>
        <v>0</v>
      </c>
      <c r="W52" s="123">
        <f>-(+'Total Revenue &amp; Costs (500Ha)'!W37-'Total Revenue &amp; Costs (500Ha)'!V37)</f>
        <v>0</v>
      </c>
    </row>
    <row r="53" spans="2:23" x14ac:dyDescent="0.2">
      <c r="B53" s="129" t="s">
        <v>273</v>
      </c>
      <c r="D53" s="123">
        <f>-'Total Revenue &amp; Costs (500Ha)'!D38</f>
        <v>0</v>
      </c>
      <c r="E53" s="123">
        <f>-(+'Total Revenue &amp; Costs (500Ha)'!E38-'Total Revenue &amp; Costs (500Ha)'!D38)</f>
        <v>0</v>
      </c>
      <c r="F53" s="123">
        <f>-(+'Total Revenue &amp; Costs (500Ha)'!F38-'Total Revenue &amp; Costs (500Ha)'!E38)</f>
        <v>0</v>
      </c>
      <c r="G53" s="123">
        <f>-(+'Total Revenue &amp; Costs (500Ha)'!G38-'Total Revenue &amp; Costs (500Ha)'!F38)</f>
        <v>0</v>
      </c>
      <c r="H53" s="123">
        <f>-(+'Total Revenue &amp; Costs (500Ha)'!H38-'Total Revenue &amp; Costs (500Ha)'!G38)</f>
        <v>0</v>
      </c>
      <c r="I53" s="123">
        <f>-(+'Total Revenue &amp; Costs (500Ha)'!I38-'Total Revenue &amp; Costs (500Ha)'!H38)</f>
        <v>0</v>
      </c>
      <c r="J53" s="123">
        <f>-(+'Total Revenue &amp; Costs (500Ha)'!J38-'Total Revenue &amp; Costs (500Ha)'!I38)</f>
        <v>0</v>
      </c>
      <c r="K53" s="123">
        <f>-(+'Total Revenue &amp; Costs (500Ha)'!K38-'Total Revenue &amp; Costs (500Ha)'!J38)</f>
        <v>0</v>
      </c>
      <c r="L53" s="123">
        <f>-(+'Total Revenue &amp; Costs (500Ha)'!L38-'Total Revenue &amp; Costs (500Ha)'!K38)</f>
        <v>0</v>
      </c>
      <c r="M53" s="123">
        <f>-(+'Total Revenue &amp; Costs (500Ha)'!M38-'Total Revenue &amp; Costs (500Ha)'!L38)</f>
        <v>0</v>
      </c>
      <c r="N53" s="123">
        <f>-(+'Total Revenue &amp; Costs (500Ha)'!N38-'Total Revenue &amp; Costs (500Ha)'!M38)</f>
        <v>0</v>
      </c>
      <c r="O53" s="123">
        <f>-(+'Total Revenue &amp; Costs (500Ha)'!O38-'Total Revenue &amp; Costs (500Ha)'!N38)</f>
        <v>0</v>
      </c>
      <c r="P53" s="123">
        <f>-(+'Total Revenue &amp; Costs (500Ha)'!P38-'Total Revenue &amp; Costs (500Ha)'!O38)</f>
        <v>0</v>
      </c>
      <c r="Q53" s="123">
        <f>-(+'Total Revenue &amp; Costs (500Ha)'!Q38-'Total Revenue &amp; Costs (500Ha)'!P38)</f>
        <v>0</v>
      </c>
      <c r="R53" s="123">
        <f>-(+'Total Revenue &amp; Costs (500Ha)'!R38-'Total Revenue &amp; Costs (500Ha)'!Q38)</f>
        <v>0</v>
      </c>
      <c r="S53" s="123">
        <f>-(+'Total Revenue &amp; Costs (500Ha)'!S38-'Total Revenue &amp; Costs (500Ha)'!R38)</f>
        <v>0</v>
      </c>
      <c r="T53" s="123">
        <f>-(+'Total Revenue &amp; Costs (500Ha)'!T38-'Total Revenue &amp; Costs (500Ha)'!S38)</f>
        <v>0</v>
      </c>
      <c r="U53" s="123">
        <f>-(+'Total Revenue &amp; Costs (500Ha)'!U38-'Total Revenue &amp; Costs (500Ha)'!T38)</f>
        <v>0</v>
      </c>
      <c r="V53" s="123">
        <f>-(+'Total Revenue &amp; Costs (500Ha)'!V38-'Total Revenue &amp; Costs (500Ha)'!U38)</f>
        <v>0</v>
      </c>
      <c r="W53" s="123">
        <f>-(+'Total Revenue &amp; Costs (500Ha)'!W38-'Total Revenue &amp; Costs (500Ha)'!V38)</f>
        <v>0</v>
      </c>
    </row>
    <row r="54" spans="2:23" x14ac:dyDescent="0.2">
      <c r="B54" s="129" t="s">
        <v>274</v>
      </c>
    </row>
    <row r="55" spans="2:23" x14ac:dyDescent="0.2">
      <c r="B55" s="129" t="s">
        <v>207</v>
      </c>
      <c r="D55" s="123">
        <f>-'Total Revenue &amp; Costs (500Ha)'!D39</f>
        <v>0</v>
      </c>
      <c r="E55" s="123">
        <f>-(+'Total Revenue &amp; Costs (500Ha)'!E39-'Total Revenue &amp; Costs (500Ha)'!D39)</f>
        <v>0</v>
      </c>
      <c r="F55" s="123">
        <f>-(+'Total Revenue &amp; Costs (500Ha)'!F39-'Total Revenue &amp; Costs (500Ha)'!E39)</f>
        <v>0</v>
      </c>
      <c r="G55" s="123">
        <f>-(+'Total Revenue &amp; Costs (500Ha)'!G39-'Total Revenue &amp; Costs (500Ha)'!F39)</f>
        <v>0</v>
      </c>
      <c r="H55" s="123">
        <f>-(+'Total Revenue &amp; Costs (500Ha)'!H39-'Total Revenue &amp; Costs (500Ha)'!G39)</f>
        <v>0</v>
      </c>
      <c r="I55" s="123">
        <f>-(+'Total Revenue &amp; Costs (500Ha)'!I39-'Total Revenue &amp; Costs (500Ha)'!H39)</f>
        <v>0</v>
      </c>
      <c r="J55" s="123">
        <f>-(+'Total Revenue &amp; Costs (500Ha)'!J39-'Total Revenue &amp; Costs (500Ha)'!I39)</f>
        <v>0</v>
      </c>
      <c r="K55" s="123">
        <f>-(+'Total Revenue &amp; Costs (500Ha)'!K39-'Total Revenue &amp; Costs (500Ha)'!J39)</f>
        <v>0</v>
      </c>
      <c r="L55" s="123">
        <f>-(+'Total Revenue &amp; Costs (500Ha)'!L39-'Total Revenue &amp; Costs (500Ha)'!K39)</f>
        <v>0</v>
      </c>
      <c r="M55" s="123">
        <f>-(+'Total Revenue &amp; Costs (500Ha)'!M39-'Total Revenue &amp; Costs (500Ha)'!L39)</f>
        <v>0</v>
      </c>
      <c r="N55" s="123">
        <f>-(+'Total Revenue &amp; Costs (500Ha)'!N39-'Total Revenue &amp; Costs (500Ha)'!M39)</f>
        <v>0</v>
      </c>
      <c r="O55" s="123">
        <f>-(+'Total Revenue &amp; Costs (500Ha)'!O39-'Total Revenue &amp; Costs (500Ha)'!N39)</f>
        <v>0</v>
      </c>
      <c r="P55" s="123">
        <f>-(+'Total Revenue &amp; Costs (500Ha)'!P39-'Total Revenue &amp; Costs (500Ha)'!O39)</f>
        <v>0</v>
      </c>
      <c r="Q55" s="123">
        <f>-(+'Total Revenue &amp; Costs (500Ha)'!Q39-'Total Revenue &amp; Costs (500Ha)'!P39)</f>
        <v>0</v>
      </c>
      <c r="R55" s="123">
        <f>-(+'Total Revenue &amp; Costs (500Ha)'!R39-'Total Revenue &amp; Costs (500Ha)'!Q39)</f>
        <v>0</v>
      </c>
      <c r="S55" s="123">
        <f>-(+'Total Revenue &amp; Costs (500Ha)'!S39-'Total Revenue &amp; Costs (500Ha)'!R39)</f>
        <v>0</v>
      </c>
      <c r="T55" s="123">
        <f>-(+'Total Revenue &amp; Costs (500Ha)'!T39-'Total Revenue &amp; Costs (500Ha)'!S39)</f>
        <v>0</v>
      </c>
      <c r="U55" s="123">
        <f>-(+'Total Revenue &amp; Costs (500Ha)'!U39-'Total Revenue &amp; Costs (500Ha)'!T39)</f>
        <v>0</v>
      </c>
      <c r="V55" s="123">
        <f>-(+'Total Revenue &amp; Costs (500Ha)'!V39-'Total Revenue &amp; Costs (500Ha)'!U39)</f>
        <v>0</v>
      </c>
      <c r="W55" s="123">
        <f>-(+'Total Revenue &amp; Costs (500Ha)'!W39-'Total Revenue &amp; Costs (500Ha)'!V39)</f>
        <v>0</v>
      </c>
    </row>
    <row r="56" spans="2:23" x14ac:dyDescent="0.2">
      <c r="B56" s="129" t="s">
        <v>275</v>
      </c>
    </row>
    <row r="57" spans="2:23" x14ac:dyDescent="0.2">
      <c r="B57" s="38" t="s">
        <v>276</v>
      </c>
    </row>
    <row r="59" spans="2:23" x14ac:dyDescent="0.2">
      <c r="B59" s="129" t="s">
        <v>277</v>
      </c>
      <c r="D59" s="123">
        <f>SUM(D52:D57)</f>
        <v>0</v>
      </c>
      <c r="E59" s="123">
        <f>SUM(E52:E57)</f>
        <v>0</v>
      </c>
      <c r="F59" s="123">
        <f t="shared" ref="F59:W59" si="9">SUM(F52:F57)</f>
        <v>0</v>
      </c>
      <c r="G59" s="123">
        <f t="shared" si="9"/>
        <v>0</v>
      </c>
      <c r="H59" s="123">
        <f t="shared" si="9"/>
        <v>0</v>
      </c>
      <c r="I59" s="123">
        <f t="shared" si="9"/>
        <v>0</v>
      </c>
      <c r="J59" s="123">
        <f t="shared" si="9"/>
        <v>0</v>
      </c>
      <c r="K59" s="123">
        <f t="shared" si="9"/>
        <v>0</v>
      </c>
      <c r="L59" s="123">
        <f t="shared" si="9"/>
        <v>0</v>
      </c>
      <c r="M59" s="123">
        <f t="shared" si="9"/>
        <v>0</v>
      </c>
      <c r="N59" s="123">
        <f t="shared" si="9"/>
        <v>0</v>
      </c>
      <c r="O59" s="123">
        <f t="shared" si="9"/>
        <v>0</v>
      </c>
      <c r="P59" s="123">
        <f t="shared" si="9"/>
        <v>0</v>
      </c>
      <c r="Q59" s="123">
        <f t="shared" si="9"/>
        <v>0</v>
      </c>
      <c r="R59" s="123">
        <f t="shared" si="9"/>
        <v>0</v>
      </c>
      <c r="S59" s="123">
        <f t="shared" si="9"/>
        <v>0</v>
      </c>
      <c r="T59" s="123">
        <f t="shared" si="9"/>
        <v>0</v>
      </c>
      <c r="U59" s="123">
        <f t="shared" si="9"/>
        <v>0</v>
      </c>
      <c r="V59" s="123">
        <f t="shared" si="9"/>
        <v>0</v>
      </c>
      <c r="W59" s="123">
        <f t="shared" si="9"/>
        <v>0</v>
      </c>
    </row>
    <row r="61" spans="2:23" x14ac:dyDescent="0.2">
      <c r="B61" s="129" t="s">
        <v>278</v>
      </c>
      <c r="D61" s="123">
        <f>+'Total Revenue &amp; Costs (500Ha)'!D40</f>
        <v>0</v>
      </c>
      <c r="E61" s="123">
        <f>+'Total Revenue &amp; Costs (500Ha)'!E40-'Total Revenue &amp; Costs (500Ha)'!D40</f>
        <v>0</v>
      </c>
      <c r="F61" s="123">
        <f>+'Total Revenue &amp; Costs (500Ha)'!F40-'Total Revenue &amp; Costs (500Ha)'!E40</f>
        <v>0</v>
      </c>
      <c r="G61" s="123">
        <f>+'Total Revenue &amp; Costs (500Ha)'!G40-'Total Revenue &amp; Costs (500Ha)'!F40</f>
        <v>0</v>
      </c>
      <c r="H61" s="123">
        <f>+'Total Revenue &amp; Costs (500Ha)'!H40-'Total Revenue &amp; Costs (500Ha)'!G40</f>
        <v>0</v>
      </c>
      <c r="I61" s="123">
        <f>+'Total Revenue &amp; Costs (500Ha)'!I40-'Total Revenue &amp; Costs (500Ha)'!H40</f>
        <v>0</v>
      </c>
      <c r="J61" s="123">
        <f>+'Total Revenue &amp; Costs (500Ha)'!J40-'Total Revenue &amp; Costs (500Ha)'!I40</f>
        <v>0</v>
      </c>
      <c r="K61" s="123">
        <f>+'Total Revenue &amp; Costs (500Ha)'!K40-'Total Revenue &amp; Costs (500Ha)'!J40</f>
        <v>0</v>
      </c>
      <c r="L61" s="123">
        <f>+'Total Revenue &amp; Costs (500Ha)'!L40-'Total Revenue &amp; Costs (500Ha)'!K40</f>
        <v>0</v>
      </c>
      <c r="M61" s="123">
        <f>+'Total Revenue &amp; Costs (500Ha)'!M40-'Total Revenue &amp; Costs (500Ha)'!L40</f>
        <v>0</v>
      </c>
      <c r="N61" s="123">
        <f>+'Total Revenue &amp; Costs (500Ha)'!N40-'Total Revenue &amp; Costs (500Ha)'!M40</f>
        <v>0</v>
      </c>
      <c r="O61" s="123">
        <f>+'Total Revenue &amp; Costs (500Ha)'!O40-'Total Revenue &amp; Costs (500Ha)'!N40</f>
        <v>0</v>
      </c>
      <c r="P61" s="123">
        <f>+'Total Revenue &amp; Costs (500Ha)'!P40-'Total Revenue &amp; Costs (500Ha)'!O40</f>
        <v>0</v>
      </c>
      <c r="Q61" s="123">
        <f>+'Total Revenue &amp; Costs (500Ha)'!Q40-'Total Revenue &amp; Costs (500Ha)'!P40</f>
        <v>0</v>
      </c>
      <c r="R61" s="123">
        <f>+'Total Revenue &amp; Costs (500Ha)'!R40-'Total Revenue &amp; Costs (500Ha)'!Q40</f>
        <v>0</v>
      </c>
      <c r="S61" s="123">
        <f>+'Total Revenue &amp; Costs (500Ha)'!S40-'Total Revenue &amp; Costs (500Ha)'!R40</f>
        <v>0</v>
      </c>
      <c r="T61" s="123">
        <f>+'Total Revenue &amp; Costs (500Ha)'!T40-'Total Revenue &amp; Costs (500Ha)'!S40</f>
        <v>0</v>
      </c>
      <c r="U61" s="123">
        <f>+'Total Revenue &amp; Costs (500Ha)'!U40-'Total Revenue &amp; Costs (500Ha)'!T40</f>
        <v>0</v>
      </c>
      <c r="V61" s="123">
        <f>+'Total Revenue &amp; Costs (500Ha)'!V40-'Total Revenue &amp; Costs (500Ha)'!U40</f>
        <v>0</v>
      </c>
      <c r="W61" s="123">
        <f>+'Total Revenue &amp; Costs (500Ha)'!W40-'Total Revenue &amp; Costs (500Ha)'!V40</f>
        <v>0</v>
      </c>
    </row>
    <row r="62" spans="2:23" x14ac:dyDescent="0.2">
      <c r="B62" s="129" t="s">
        <v>279</v>
      </c>
    </row>
    <row r="64" spans="2:23" x14ac:dyDescent="0.2">
      <c r="B64" s="38" t="s">
        <v>280</v>
      </c>
      <c r="D64" s="123">
        <f>SUM(D61:D62)</f>
        <v>0</v>
      </c>
      <c r="E64" s="123">
        <f>SUM(E61:E62)</f>
        <v>0</v>
      </c>
      <c r="F64" s="123">
        <f t="shared" ref="F64:W64" si="10">SUM(F61:F62)</f>
        <v>0</v>
      </c>
      <c r="G64" s="123">
        <f t="shared" si="10"/>
        <v>0</v>
      </c>
      <c r="H64" s="123">
        <f t="shared" si="10"/>
        <v>0</v>
      </c>
      <c r="I64" s="123">
        <f t="shared" si="10"/>
        <v>0</v>
      </c>
      <c r="J64" s="123">
        <f t="shared" si="10"/>
        <v>0</v>
      </c>
      <c r="K64" s="123">
        <f t="shared" si="10"/>
        <v>0</v>
      </c>
      <c r="L64" s="123">
        <f t="shared" si="10"/>
        <v>0</v>
      </c>
      <c r="M64" s="123">
        <f t="shared" si="10"/>
        <v>0</v>
      </c>
      <c r="N64" s="123">
        <f t="shared" si="10"/>
        <v>0</v>
      </c>
      <c r="O64" s="123">
        <f t="shared" si="10"/>
        <v>0</v>
      </c>
      <c r="P64" s="123">
        <f t="shared" si="10"/>
        <v>0</v>
      </c>
      <c r="Q64" s="123">
        <f t="shared" si="10"/>
        <v>0</v>
      </c>
      <c r="R64" s="123">
        <f t="shared" si="10"/>
        <v>0</v>
      </c>
      <c r="S64" s="123">
        <f t="shared" si="10"/>
        <v>0</v>
      </c>
      <c r="T64" s="123">
        <f t="shared" si="10"/>
        <v>0</v>
      </c>
      <c r="U64" s="123">
        <f t="shared" si="10"/>
        <v>0</v>
      </c>
      <c r="V64" s="123">
        <f t="shared" si="10"/>
        <v>0</v>
      </c>
      <c r="W64" s="123">
        <f t="shared" si="10"/>
        <v>0</v>
      </c>
    </row>
    <row r="65" spans="2:23" x14ac:dyDescent="0.2">
      <c r="B65" s="38"/>
    </row>
    <row r="66" spans="2:23" x14ac:dyDescent="0.2">
      <c r="B66" s="41" t="s">
        <v>281</v>
      </c>
      <c r="C66" s="41"/>
      <c r="D66" s="42">
        <f>+D59+D64</f>
        <v>0</v>
      </c>
      <c r="E66" s="42">
        <f t="shared" ref="E66:W66" si="11">+E59+E64</f>
        <v>0</v>
      </c>
      <c r="F66" s="42">
        <f t="shared" si="11"/>
        <v>0</v>
      </c>
      <c r="G66" s="42">
        <f t="shared" si="11"/>
        <v>0</v>
      </c>
      <c r="H66" s="42">
        <f t="shared" si="11"/>
        <v>0</v>
      </c>
      <c r="I66" s="42">
        <f t="shared" si="11"/>
        <v>0</v>
      </c>
      <c r="J66" s="42">
        <f t="shared" si="11"/>
        <v>0</v>
      </c>
      <c r="K66" s="42">
        <f t="shared" si="11"/>
        <v>0</v>
      </c>
      <c r="L66" s="42">
        <f t="shared" si="11"/>
        <v>0</v>
      </c>
      <c r="M66" s="42">
        <f t="shared" si="11"/>
        <v>0</v>
      </c>
      <c r="N66" s="42">
        <f t="shared" si="11"/>
        <v>0</v>
      </c>
      <c r="O66" s="42">
        <f t="shared" si="11"/>
        <v>0</v>
      </c>
      <c r="P66" s="42">
        <f t="shared" si="11"/>
        <v>0</v>
      </c>
      <c r="Q66" s="42">
        <f t="shared" si="11"/>
        <v>0</v>
      </c>
      <c r="R66" s="42">
        <f t="shared" si="11"/>
        <v>0</v>
      </c>
      <c r="S66" s="42">
        <f t="shared" si="11"/>
        <v>0</v>
      </c>
      <c r="T66" s="42">
        <f t="shared" si="11"/>
        <v>0</v>
      </c>
      <c r="U66" s="42">
        <f t="shared" si="11"/>
        <v>0</v>
      </c>
      <c r="V66" s="42">
        <f t="shared" si="11"/>
        <v>0</v>
      </c>
      <c r="W66" s="42">
        <f t="shared" si="11"/>
        <v>0</v>
      </c>
    </row>
    <row r="68" spans="2:23" x14ac:dyDescent="0.2">
      <c r="D68" s="123"/>
      <c r="E68" s="123"/>
      <c r="F68" s="123"/>
      <c r="G68" s="123"/>
      <c r="H68" s="123"/>
      <c r="I68" s="123"/>
      <c r="J68" s="12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F89"/>
  <sheetViews>
    <sheetView showGridLines="0" topLeftCell="B1" zoomScaleNormal="100" workbookViewId="0">
      <pane xSplit="2" ySplit="4" topLeftCell="T5" activePane="bottomRight" state="frozen"/>
      <selection activeCell="B1" sqref="B1"/>
      <selection pane="topRight" activeCell="D1" sqref="D1"/>
      <selection pane="bottomLeft" activeCell="B2" sqref="B2"/>
      <selection pane="bottomRight" activeCell="Z30" sqref="Z30"/>
    </sheetView>
  </sheetViews>
  <sheetFormatPr defaultRowHeight="12.75" x14ac:dyDescent="0.2"/>
  <cols>
    <col min="1" max="1" width="9.140625" style="129"/>
    <col min="2" max="2" width="44.85546875" style="129" customWidth="1"/>
    <col min="3" max="3" width="14.85546875" style="129" customWidth="1"/>
    <col min="4" max="23" width="15.7109375" style="129" customWidth="1"/>
    <col min="24" max="31" width="9.140625" style="129"/>
    <col min="32" max="32" width="11.140625" style="129" customWidth="1"/>
    <col min="33" max="16384" width="9.140625" style="129"/>
  </cols>
  <sheetData>
    <row r="1" spans="2:32" ht="13.5" thickBot="1" x14ac:dyDescent="0.25"/>
    <row r="2" spans="2:32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32" ht="13.5" thickTop="1" x14ac:dyDescent="0.2"/>
    <row r="4" spans="2:32" x14ac:dyDescent="0.2">
      <c r="B4" s="41" t="s">
        <v>373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32" x14ac:dyDescent="0.2">
      <c r="B5" s="129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6" spans="2:32" ht="13.5" thickBot="1" x14ac:dyDescent="0.25"/>
    <row r="7" spans="2:32" x14ac:dyDescent="0.2">
      <c r="B7" s="129" t="s">
        <v>150</v>
      </c>
      <c r="C7" s="121"/>
      <c r="D7" s="123">
        <f>+'Field Ops (500Ha)'!F17</f>
        <v>0</v>
      </c>
      <c r="E7" s="123">
        <f>+'Field Ops (500Ha)'!G17</f>
        <v>500</v>
      </c>
      <c r="F7" s="123">
        <f>+'Field Ops (500Ha)'!H17</f>
        <v>500</v>
      </c>
      <c r="G7" s="123">
        <f>+'Field Ops (500Ha)'!I17</f>
        <v>500</v>
      </c>
      <c r="H7" s="123">
        <f>+'Field Ops (500Ha)'!J17</f>
        <v>500</v>
      </c>
      <c r="I7" s="123">
        <f>+'Field Ops (500Ha)'!K17</f>
        <v>500</v>
      </c>
      <c r="J7" s="123">
        <f>+'Field Ops (500Ha)'!L17</f>
        <v>500</v>
      </c>
      <c r="K7" s="123">
        <f>+'Field Ops (500Ha)'!M17</f>
        <v>500</v>
      </c>
      <c r="L7" s="123">
        <f>+'Field Ops (500Ha)'!N17</f>
        <v>500</v>
      </c>
      <c r="M7" s="123">
        <f>+'Field Ops (500Ha)'!O17</f>
        <v>500</v>
      </c>
      <c r="N7" s="123">
        <f>+'Field Ops (500Ha)'!P17</f>
        <v>500</v>
      </c>
      <c r="O7" s="123">
        <f>+'Field Ops (500Ha)'!Q17</f>
        <v>500</v>
      </c>
      <c r="P7" s="123">
        <f>+'Field Ops (500Ha)'!R17</f>
        <v>500</v>
      </c>
      <c r="Q7" s="123">
        <f>+'Field Ops (500Ha)'!S17</f>
        <v>500</v>
      </c>
      <c r="R7" s="123">
        <f>+'Field Ops (500Ha)'!T17</f>
        <v>500</v>
      </c>
      <c r="S7" s="123">
        <f>+'Field Ops (500Ha)'!U17</f>
        <v>500</v>
      </c>
      <c r="T7" s="123">
        <f>+'Field Ops (500Ha)'!V17</f>
        <v>500</v>
      </c>
      <c r="U7" s="123">
        <f>+'Field Ops (500Ha)'!W17</f>
        <v>500</v>
      </c>
      <c r="V7" s="123">
        <f>+'Field Ops (500Ha)'!X17</f>
        <v>500</v>
      </c>
      <c r="W7" s="123">
        <f>+'Field Ops (500Ha)'!Y17</f>
        <v>500</v>
      </c>
      <c r="Y7" s="250"/>
      <c r="Z7" s="108"/>
      <c r="AA7" s="108"/>
      <c r="AB7" s="108"/>
      <c r="AC7" s="108"/>
      <c r="AD7" s="108"/>
      <c r="AE7" s="108"/>
      <c r="AF7" s="103"/>
    </row>
    <row r="8" spans="2:32" x14ac:dyDescent="0.2">
      <c r="B8" s="129" t="s">
        <v>153</v>
      </c>
      <c r="C8" s="121"/>
      <c r="D8" s="123">
        <f>+D7</f>
        <v>0</v>
      </c>
      <c r="E8" s="123">
        <f t="shared" ref="E8:W8" si="1">+E7</f>
        <v>500</v>
      </c>
      <c r="F8" s="123">
        <f t="shared" si="1"/>
        <v>500</v>
      </c>
      <c r="G8" s="123">
        <f t="shared" si="1"/>
        <v>500</v>
      </c>
      <c r="H8" s="123">
        <f t="shared" si="1"/>
        <v>500</v>
      </c>
      <c r="I8" s="123">
        <f t="shared" si="1"/>
        <v>500</v>
      </c>
      <c r="J8" s="123">
        <f t="shared" si="1"/>
        <v>500</v>
      </c>
      <c r="K8" s="123">
        <f t="shared" si="1"/>
        <v>500</v>
      </c>
      <c r="L8" s="123">
        <f t="shared" si="1"/>
        <v>500</v>
      </c>
      <c r="M8" s="123">
        <f t="shared" si="1"/>
        <v>500</v>
      </c>
      <c r="N8" s="123">
        <f t="shared" si="1"/>
        <v>500</v>
      </c>
      <c r="O8" s="123">
        <f t="shared" si="1"/>
        <v>500</v>
      </c>
      <c r="P8" s="123">
        <f t="shared" si="1"/>
        <v>500</v>
      </c>
      <c r="Q8" s="123">
        <f t="shared" si="1"/>
        <v>500</v>
      </c>
      <c r="R8" s="123">
        <f t="shared" si="1"/>
        <v>500</v>
      </c>
      <c r="S8" s="123">
        <f t="shared" si="1"/>
        <v>500</v>
      </c>
      <c r="T8" s="123">
        <f t="shared" si="1"/>
        <v>500</v>
      </c>
      <c r="U8" s="123">
        <f t="shared" si="1"/>
        <v>500</v>
      </c>
      <c r="V8" s="123">
        <f t="shared" si="1"/>
        <v>500</v>
      </c>
      <c r="W8" s="123">
        <f t="shared" si="1"/>
        <v>500</v>
      </c>
      <c r="Y8" s="109"/>
      <c r="Z8" s="14" t="s">
        <v>588</v>
      </c>
      <c r="AA8" s="105"/>
      <c r="AB8" s="105"/>
      <c r="AC8" s="105"/>
      <c r="AD8" s="105"/>
      <c r="AE8" s="105"/>
      <c r="AF8" s="110"/>
    </row>
    <row r="9" spans="2:32" x14ac:dyDescent="0.2">
      <c r="Y9" s="109"/>
      <c r="Z9" s="105"/>
      <c r="AA9" s="105"/>
      <c r="AB9" s="105"/>
      <c r="AC9" s="105"/>
      <c r="AD9" s="105"/>
      <c r="AE9" s="105"/>
      <c r="AF9" s="110"/>
    </row>
    <row r="10" spans="2:32" x14ac:dyDescent="0.2">
      <c r="B10" s="129" t="s">
        <v>98</v>
      </c>
      <c r="C10" s="121" t="s">
        <v>152</v>
      </c>
      <c r="D10" s="123">
        <f>+'Total Revenue &amp; Costs (500Ha)'!D10</f>
        <v>0</v>
      </c>
      <c r="E10" s="123">
        <f>+'Total Revenue &amp; Costs (500Ha)'!E10</f>
        <v>0</v>
      </c>
      <c r="F10" s="123">
        <f>+'Total Revenue &amp; Costs (500Ha)'!F10</f>
        <v>0</v>
      </c>
      <c r="G10" s="123">
        <f>+'Total Revenue &amp; Costs (500Ha)'!G10</f>
        <v>0</v>
      </c>
      <c r="H10" s="123">
        <f>+'Total Revenue &amp; Costs (500Ha)'!H10</f>
        <v>2000</v>
      </c>
      <c r="I10" s="123">
        <f>+'Total Revenue &amp; Costs (500Ha)'!I10</f>
        <v>4000</v>
      </c>
      <c r="J10" s="123">
        <f>+'Total Revenue &amp; Costs (500Ha)'!J10</f>
        <v>6000</v>
      </c>
      <c r="K10" s="123">
        <f>+'Total Revenue &amp; Costs (500Ha)'!K10</f>
        <v>7500</v>
      </c>
      <c r="L10" s="123">
        <f>+'Total Revenue &amp; Costs (500Ha)'!L10</f>
        <v>8500</v>
      </c>
      <c r="M10" s="123">
        <f>+'Total Revenue &amp; Costs (500Ha)'!M10</f>
        <v>9500</v>
      </c>
      <c r="N10" s="123">
        <f>+'Total Revenue &amp; Costs (500Ha)'!N10</f>
        <v>9500</v>
      </c>
      <c r="O10" s="123">
        <f>+'Total Revenue &amp; Costs (500Ha)'!O10</f>
        <v>9500</v>
      </c>
      <c r="P10" s="123">
        <f>+'Total Revenue &amp; Costs (500Ha)'!P10</f>
        <v>9500</v>
      </c>
      <c r="Q10" s="123">
        <f>+'Total Revenue &amp; Costs (500Ha)'!Q10</f>
        <v>9500</v>
      </c>
      <c r="R10" s="123">
        <f>+'Total Revenue &amp; Costs (500Ha)'!R10</f>
        <v>9500</v>
      </c>
      <c r="S10" s="123">
        <f>+'Total Revenue &amp; Costs (500Ha)'!S10</f>
        <v>9500</v>
      </c>
      <c r="T10" s="123">
        <f>+'Total Revenue &amp; Costs (500Ha)'!T10</f>
        <v>9500</v>
      </c>
      <c r="U10" s="123">
        <f>+'Total Revenue &amp; Costs (500Ha)'!U10</f>
        <v>9500</v>
      </c>
      <c r="V10" s="123">
        <f>+'Total Revenue &amp; Costs (500Ha)'!V10</f>
        <v>9500</v>
      </c>
      <c r="W10" s="123">
        <f>+'Total Revenue &amp; Costs (500Ha)'!W10</f>
        <v>9500</v>
      </c>
      <c r="Y10" s="109"/>
      <c r="Z10" s="105"/>
      <c r="AA10" s="105"/>
      <c r="AB10" s="105"/>
      <c r="AC10" s="105"/>
      <c r="AD10" s="105"/>
      <c r="AE10" s="105"/>
      <c r="AF10" s="110"/>
    </row>
    <row r="11" spans="2:32" x14ac:dyDescent="0.2">
      <c r="C11" s="121"/>
      <c r="O11" s="67"/>
      <c r="Y11" s="109"/>
      <c r="Z11" s="105" t="s">
        <v>589</v>
      </c>
      <c r="AA11" s="105"/>
      <c r="AB11" s="105"/>
      <c r="AC11" s="105"/>
      <c r="AD11" s="105"/>
      <c r="AE11" s="251">
        <f>W12</f>
        <v>1016500</v>
      </c>
      <c r="AF11" s="110"/>
    </row>
    <row r="12" spans="2:32" x14ac:dyDescent="0.2">
      <c r="B12" s="129" t="s">
        <v>403</v>
      </c>
      <c r="C12" s="121" t="s">
        <v>397</v>
      </c>
      <c r="D12" s="123">
        <f>+'Total Revenue &amp; Costs (500Ha)'!D12</f>
        <v>0</v>
      </c>
      <c r="E12" s="123">
        <f>+'Total Revenue &amp; Costs (500Ha)'!E12</f>
        <v>0</v>
      </c>
      <c r="F12" s="123">
        <f>+'Total Revenue &amp; Costs (500Ha)'!F12</f>
        <v>0</v>
      </c>
      <c r="G12" s="123">
        <f>+'Total Revenue &amp; Costs (500Ha)'!G12</f>
        <v>0</v>
      </c>
      <c r="H12" s="123">
        <f>+'Total Revenue &amp; Costs (500Ha)'!H12</f>
        <v>214000</v>
      </c>
      <c r="I12" s="123">
        <f>+'Total Revenue &amp; Costs (500Ha)'!I12</f>
        <v>428000</v>
      </c>
      <c r="J12" s="123">
        <f>+'Total Revenue &amp; Costs (500Ha)'!J12</f>
        <v>642000</v>
      </c>
      <c r="K12" s="123">
        <f>+'Total Revenue &amp; Costs (500Ha)'!K12</f>
        <v>802500</v>
      </c>
      <c r="L12" s="123">
        <f>+'Total Revenue &amp; Costs (500Ha)'!L12</f>
        <v>909500</v>
      </c>
      <c r="M12" s="123">
        <f>+'Total Revenue &amp; Costs (500Ha)'!M12</f>
        <v>1016500</v>
      </c>
      <c r="N12" s="123">
        <f>+'Total Revenue &amp; Costs (500Ha)'!N12</f>
        <v>1016500</v>
      </c>
      <c r="O12" s="123">
        <f>+'Total Revenue &amp; Costs (500Ha)'!O12</f>
        <v>1016500</v>
      </c>
      <c r="P12" s="123">
        <f>+'Total Revenue &amp; Costs (500Ha)'!P12</f>
        <v>1016500</v>
      </c>
      <c r="Q12" s="123">
        <f>+'Total Revenue &amp; Costs (500Ha)'!Q12</f>
        <v>1016500</v>
      </c>
      <c r="R12" s="123">
        <f>+'Total Revenue &amp; Costs (500Ha)'!R12</f>
        <v>1016500</v>
      </c>
      <c r="S12" s="123">
        <f>+'Total Revenue &amp; Costs (500Ha)'!S12</f>
        <v>1016500</v>
      </c>
      <c r="T12" s="123">
        <f>+'Total Revenue &amp; Costs (500Ha)'!T12</f>
        <v>1016500</v>
      </c>
      <c r="U12" s="123">
        <f>+'Total Revenue &amp; Costs (500Ha)'!U12</f>
        <v>1016500</v>
      </c>
      <c r="V12" s="123">
        <f>+'Total Revenue &amp; Costs (500Ha)'!V12</f>
        <v>1016500</v>
      </c>
      <c r="W12" s="123">
        <f>+'Total Revenue &amp; Costs (500Ha)'!W12</f>
        <v>1016500</v>
      </c>
      <c r="Y12" s="109"/>
      <c r="Z12" s="105"/>
      <c r="AA12" s="105"/>
      <c r="AB12" s="105"/>
      <c r="AC12" s="105"/>
      <c r="AD12" s="105"/>
      <c r="AE12" s="105"/>
      <c r="AF12" s="110"/>
    </row>
    <row r="13" spans="2:32" x14ac:dyDescent="0.2">
      <c r="Y13" s="109"/>
      <c r="Z13" s="252" t="s">
        <v>590</v>
      </c>
      <c r="AA13" s="105"/>
      <c r="AB13" s="105"/>
      <c r="AC13" s="105"/>
      <c r="AD13" s="105"/>
      <c r="AE13" s="105"/>
      <c r="AF13" s="110"/>
    </row>
    <row r="14" spans="2:32" x14ac:dyDescent="0.2">
      <c r="B14" s="129" t="s">
        <v>496</v>
      </c>
      <c r="D14" s="123">
        <f>+D12</f>
        <v>0</v>
      </c>
      <c r="E14" s="123">
        <f t="shared" ref="E14:W14" si="2">+E12</f>
        <v>0</v>
      </c>
      <c r="F14" s="123">
        <f t="shared" si="2"/>
        <v>0</v>
      </c>
      <c r="G14" s="123">
        <f t="shared" si="2"/>
        <v>0</v>
      </c>
      <c r="H14" s="123">
        <f t="shared" si="2"/>
        <v>214000</v>
      </c>
      <c r="I14" s="123">
        <f t="shared" si="2"/>
        <v>428000</v>
      </c>
      <c r="J14" s="123">
        <f t="shared" si="2"/>
        <v>642000</v>
      </c>
      <c r="K14" s="123">
        <f t="shared" si="2"/>
        <v>802500</v>
      </c>
      <c r="L14" s="123">
        <f t="shared" si="2"/>
        <v>909500</v>
      </c>
      <c r="M14" s="123">
        <f t="shared" si="2"/>
        <v>1016500</v>
      </c>
      <c r="N14" s="123">
        <f t="shared" si="2"/>
        <v>1016500</v>
      </c>
      <c r="O14" s="123">
        <f t="shared" si="2"/>
        <v>1016500</v>
      </c>
      <c r="P14" s="123">
        <f t="shared" si="2"/>
        <v>1016500</v>
      </c>
      <c r="Q14" s="123">
        <f t="shared" si="2"/>
        <v>1016500</v>
      </c>
      <c r="R14" s="123">
        <f t="shared" si="2"/>
        <v>1016500</v>
      </c>
      <c r="S14" s="123">
        <f t="shared" si="2"/>
        <v>1016500</v>
      </c>
      <c r="T14" s="123">
        <f t="shared" si="2"/>
        <v>1016500</v>
      </c>
      <c r="U14" s="123">
        <f t="shared" si="2"/>
        <v>1016500</v>
      </c>
      <c r="V14" s="123">
        <f t="shared" si="2"/>
        <v>1016500</v>
      </c>
      <c r="W14" s="123">
        <f t="shared" si="2"/>
        <v>1016500</v>
      </c>
      <c r="Y14" s="109"/>
      <c r="Z14" s="105" t="s">
        <v>591</v>
      </c>
      <c r="AA14" s="105"/>
      <c r="AB14" s="105"/>
      <c r="AC14" s="105"/>
      <c r="AD14" s="105"/>
      <c r="AE14" s="251">
        <f>'Field Ops (500Ha)'!Y199</f>
        <v>44802.365384615383</v>
      </c>
      <c r="AF14" s="110"/>
    </row>
    <row r="15" spans="2:32" x14ac:dyDescent="0.2">
      <c r="O15" s="123" t="e">
        <f>(#REF!+#REF!+#REF!)/O10/5</f>
        <v>#REF!</v>
      </c>
      <c r="Y15" s="109"/>
      <c r="Z15" s="105" t="s">
        <v>592</v>
      </c>
      <c r="AA15" s="105"/>
      <c r="AB15" s="105"/>
      <c r="AC15" s="105"/>
      <c r="AD15" s="105"/>
      <c r="AE15" s="253">
        <f>'Field Ops (500Ha)'!Y200+'Field Ops (500Ha)'!Y201</f>
        <v>259516.22446874992</v>
      </c>
      <c r="AF15" s="110"/>
    </row>
    <row r="16" spans="2:32" x14ac:dyDescent="0.2">
      <c r="Y16" s="109"/>
      <c r="Z16" s="105"/>
      <c r="AA16" s="105"/>
      <c r="AB16" s="105"/>
      <c r="AC16" s="105"/>
      <c r="AD16" s="105"/>
      <c r="AE16" s="251">
        <f>AE14+AE15</f>
        <v>304318.58985336532</v>
      </c>
      <c r="AF16" s="110"/>
    </row>
    <row r="17" spans="2:32" x14ac:dyDescent="0.2">
      <c r="B17" s="129" t="s">
        <v>199</v>
      </c>
      <c r="D17" s="123">
        <f>+'Total Revenue &amp; Costs (500Ha)'!D18</f>
        <v>0</v>
      </c>
      <c r="E17" s="123">
        <f>+'Total Revenue &amp; Costs (500Ha)'!E18</f>
        <v>0</v>
      </c>
      <c r="F17" s="123">
        <f>+'Total Revenue &amp; Costs (500Ha)'!F18</f>
        <v>0</v>
      </c>
      <c r="G17" s="123">
        <f>+'Total Revenue &amp; Costs (500Ha)'!G18</f>
        <v>0</v>
      </c>
      <c r="H17" s="123">
        <f>+'Total Revenue &amp; Costs (500Ha)'!H18</f>
        <v>0</v>
      </c>
      <c r="I17" s="123">
        <f>+'Total Revenue &amp; Costs (500Ha)'!I18</f>
        <v>304318.58985336532</v>
      </c>
      <c r="J17" s="123">
        <f>+'Total Revenue &amp; Costs (500Ha)'!J18</f>
        <v>304318.58985336532</v>
      </c>
      <c r="K17" s="123">
        <f>+'Total Revenue &amp; Costs (500Ha)'!K18</f>
        <v>304318.58985336532</v>
      </c>
      <c r="L17" s="123">
        <f>+'Total Revenue &amp; Costs (500Ha)'!L18</f>
        <v>304318.58985336532</v>
      </c>
      <c r="M17" s="123">
        <f>+'Total Revenue &amp; Costs (500Ha)'!M18</f>
        <v>304318.58985336532</v>
      </c>
      <c r="N17" s="123">
        <f>+'Total Revenue &amp; Costs (500Ha)'!N18</f>
        <v>304318.58985336532</v>
      </c>
      <c r="O17" s="123">
        <f>+'Total Revenue &amp; Costs (500Ha)'!O18</f>
        <v>304318.58985336532</v>
      </c>
      <c r="P17" s="123">
        <f>+'Total Revenue &amp; Costs (500Ha)'!P18</f>
        <v>304318.58985336532</v>
      </c>
      <c r="Q17" s="123">
        <f>+'Total Revenue &amp; Costs (500Ha)'!Q18</f>
        <v>304318.58985336532</v>
      </c>
      <c r="R17" s="123">
        <f>+'Total Revenue &amp; Costs (500Ha)'!R18</f>
        <v>304318.58985336532</v>
      </c>
      <c r="S17" s="123">
        <f>+'Total Revenue &amp; Costs (500Ha)'!S18</f>
        <v>304318.58985336532</v>
      </c>
      <c r="T17" s="123">
        <f>+'Total Revenue &amp; Costs (500Ha)'!T18</f>
        <v>304318.58985336532</v>
      </c>
      <c r="U17" s="123">
        <f>+'Total Revenue &amp; Costs (500Ha)'!U18</f>
        <v>304318.58985336532</v>
      </c>
      <c r="V17" s="123">
        <f>+'Total Revenue &amp; Costs (500Ha)'!V18</f>
        <v>304318.58985336532</v>
      </c>
      <c r="W17" s="123">
        <f>+'Total Revenue &amp; Costs (500Ha)'!W18</f>
        <v>304318.58985336532</v>
      </c>
      <c r="Y17" s="109"/>
      <c r="Z17" s="105"/>
      <c r="AA17" s="105"/>
      <c r="AB17" s="105"/>
      <c r="AC17" s="105"/>
      <c r="AD17" s="105"/>
      <c r="AE17" s="105"/>
      <c r="AF17" s="110"/>
    </row>
    <row r="18" spans="2:32" x14ac:dyDescent="0.2">
      <c r="B18" s="129" t="s">
        <v>200</v>
      </c>
      <c r="D18" s="123">
        <f>+'Total Revenue &amp; Costs (500Ha)'!D19</f>
        <v>0</v>
      </c>
      <c r="E18" s="123">
        <f>+'Total Revenue &amp; Costs (500Ha)'!E19</f>
        <v>0</v>
      </c>
      <c r="F18" s="123">
        <f>+'Total Revenue &amp; Costs (500Ha)'!F19</f>
        <v>0</v>
      </c>
      <c r="G18" s="123">
        <f>+'Total Revenue &amp; Costs (500Ha)'!G19</f>
        <v>0</v>
      </c>
      <c r="H18" s="123">
        <f>+'Total Revenue &amp; Costs (500Ha)'!H19</f>
        <v>82936.666666666657</v>
      </c>
      <c r="I18" s="123">
        <f>+'Total Revenue &amp; Costs (500Ha)'!I19</f>
        <v>135220</v>
      </c>
      <c r="J18" s="123">
        <f>+'Total Revenue &amp; Costs (500Ha)'!J19</f>
        <v>187155</v>
      </c>
      <c r="K18" s="123">
        <f>+'Total Revenue &amp; Costs (500Ha)'!K19</f>
        <v>222187.5</v>
      </c>
      <c r="L18" s="123">
        <f>+'Total Revenue &amp; Costs (500Ha)'!L19</f>
        <v>247371.25</v>
      </c>
      <c r="M18" s="123">
        <f>+'Total Revenue &amp; Costs (500Ha)'!M19</f>
        <v>270269.0625</v>
      </c>
      <c r="N18" s="123">
        <f>+'Total Revenue &amp; Costs (500Ha)'!N19</f>
        <v>256618.75</v>
      </c>
      <c r="O18" s="123">
        <f>+'Total Revenue &amp; Costs (500Ha)'!O19</f>
        <v>255791.45833333334</v>
      </c>
      <c r="P18" s="123">
        <f>+'Total Revenue &amp; Costs (500Ha)'!P19</f>
        <v>251655</v>
      </c>
      <c r="Q18" s="123">
        <f>+'Total Revenue &amp; Costs (500Ha)'!Q19</f>
        <v>254964.16666666669</v>
      </c>
      <c r="R18" s="123">
        <f>+'Total Revenue &amp; Costs (500Ha)'!R19</f>
        <v>260962.03125</v>
      </c>
      <c r="S18" s="123">
        <f>+'Total Revenue &amp; Costs (500Ha)'!S19</f>
        <v>263334.4117647059</v>
      </c>
      <c r="T18" s="123">
        <f>+'Total Revenue &amp; Costs (500Ha)'!T19</f>
        <v>265443.19444444444</v>
      </c>
      <c r="U18" s="123">
        <f>+'Total Revenue &amp; Costs (500Ha)'!U19</f>
        <v>272555</v>
      </c>
      <c r="V18" s="123">
        <f>+'Total Revenue &amp; Costs (500Ha)'!V19</f>
        <v>271510</v>
      </c>
      <c r="W18" s="123">
        <f>+'Total Revenue &amp; Costs (500Ha)'!W19</f>
        <v>271510</v>
      </c>
      <c r="Y18" s="109"/>
      <c r="Z18" s="252" t="s">
        <v>435</v>
      </c>
      <c r="AA18" s="105"/>
      <c r="AB18" s="105"/>
      <c r="AC18" s="105"/>
      <c r="AD18" s="105"/>
      <c r="AE18" s="105"/>
      <c r="AF18" s="110"/>
    </row>
    <row r="19" spans="2:32" x14ac:dyDescent="0.2">
      <c r="Y19" s="109"/>
      <c r="Z19" s="105" t="s">
        <v>591</v>
      </c>
      <c r="AA19" s="105"/>
      <c r="AB19" s="105"/>
      <c r="AC19" s="105"/>
      <c r="AD19" s="105"/>
      <c r="AE19" s="251">
        <f>'Field Ops (500Ha)'!Y40+'Field Ops (500Ha)'!Y41</f>
        <v>107635</v>
      </c>
      <c r="AF19" s="110"/>
    </row>
    <row r="20" spans="2:32" x14ac:dyDescent="0.2">
      <c r="B20" s="129" t="s">
        <v>180</v>
      </c>
      <c r="D20" s="123">
        <f t="shared" ref="D20:W20" si="3">SUM(D17:D18)</f>
        <v>0</v>
      </c>
      <c r="E20" s="123">
        <f t="shared" si="3"/>
        <v>0</v>
      </c>
      <c r="F20" s="123">
        <f t="shared" si="3"/>
        <v>0</v>
      </c>
      <c r="G20" s="123">
        <f t="shared" si="3"/>
        <v>0</v>
      </c>
      <c r="H20" s="123">
        <f t="shared" si="3"/>
        <v>82936.666666666657</v>
      </c>
      <c r="I20" s="123">
        <f t="shared" si="3"/>
        <v>439538.58985336532</v>
      </c>
      <c r="J20" s="123">
        <f t="shared" si="3"/>
        <v>491473.58985336532</v>
      </c>
      <c r="K20" s="123">
        <f t="shared" si="3"/>
        <v>526506.08985336532</v>
      </c>
      <c r="L20" s="123">
        <f t="shared" si="3"/>
        <v>551689.83985336532</v>
      </c>
      <c r="M20" s="123">
        <f t="shared" si="3"/>
        <v>574587.65235336532</v>
      </c>
      <c r="N20" s="123">
        <f t="shared" si="3"/>
        <v>560937.33985336532</v>
      </c>
      <c r="O20" s="123">
        <f t="shared" si="3"/>
        <v>560110.0481866987</v>
      </c>
      <c r="P20" s="123">
        <f t="shared" si="3"/>
        <v>555973.58985336532</v>
      </c>
      <c r="Q20" s="123">
        <f t="shared" si="3"/>
        <v>559282.75652003195</v>
      </c>
      <c r="R20" s="123">
        <f t="shared" si="3"/>
        <v>565280.62110336532</v>
      </c>
      <c r="S20" s="123">
        <f t="shared" si="3"/>
        <v>567653.00161807123</v>
      </c>
      <c r="T20" s="123">
        <f t="shared" si="3"/>
        <v>569761.7842978097</v>
      </c>
      <c r="U20" s="123">
        <f t="shared" si="3"/>
        <v>576873.58985336532</v>
      </c>
      <c r="V20" s="123">
        <f t="shared" si="3"/>
        <v>575828.58985336532</v>
      </c>
      <c r="W20" s="123">
        <f t="shared" si="3"/>
        <v>575828.58985336532</v>
      </c>
      <c r="Y20" s="109"/>
      <c r="Z20" s="105" t="s">
        <v>592</v>
      </c>
      <c r="AA20" s="105"/>
      <c r="AB20" s="105"/>
      <c r="AC20" s="105"/>
      <c r="AD20" s="105"/>
      <c r="AE20" s="253">
        <f>'Field Ops (500Ha)'!Y42+'Field Ops (500Ha)'!Y43</f>
        <v>163875</v>
      </c>
      <c r="AF20" s="110"/>
    </row>
    <row r="21" spans="2:32" x14ac:dyDescent="0.2">
      <c r="Y21" s="109"/>
      <c r="Z21" s="105"/>
      <c r="AA21" s="105"/>
      <c r="AB21" s="105"/>
      <c r="AC21" s="105"/>
      <c r="AD21" s="105"/>
      <c r="AE21" s="251">
        <f>AE19+AE20</f>
        <v>271510</v>
      </c>
      <c r="AF21" s="110"/>
    </row>
    <row r="22" spans="2:32" x14ac:dyDescent="0.2">
      <c r="B22" s="129" t="s">
        <v>181</v>
      </c>
      <c r="D22" s="123">
        <f>SUM('Total Revenue &amp; Costs (500Ha)'!D20)</f>
        <v>0</v>
      </c>
      <c r="E22" s="123">
        <f>SUM('Total Revenue &amp; Costs (500Ha)'!E20)</f>
        <v>0</v>
      </c>
      <c r="F22" s="123">
        <f>SUM('Total Revenue &amp; Costs (500Ha)'!F20)</f>
        <v>0</v>
      </c>
      <c r="G22" s="123">
        <f>SUM('Total Revenue &amp; Costs (500Ha)'!G20)</f>
        <v>0</v>
      </c>
      <c r="H22" s="123">
        <f>SUM('Total Revenue &amp; Costs (500Ha)'!H20)</f>
        <v>0</v>
      </c>
      <c r="I22" s="123">
        <f>SUM('Total Revenue &amp; Costs (500Ha)'!I20)</f>
        <v>0</v>
      </c>
      <c r="J22" s="123">
        <f>SUM('Total Revenue &amp; Costs (500Ha)'!J20)</f>
        <v>0</v>
      </c>
      <c r="K22" s="123">
        <f>SUM('Total Revenue &amp; Costs (500Ha)'!K20)</f>
        <v>0</v>
      </c>
      <c r="L22" s="123">
        <f>SUM('Total Revenue &amp; Costs (500Ha)'!L20)</f>
        <v>0</v>
      </c>
      <c r="M22" s="123">
        <f>SUM('Total Revenue &amp; Costs (500Ha)'!M20)</f>
        <v>0</v>
      </c>
      <c r="N22" s="123">
        <f>SUM('Total Revenue &amp; Costs (500Ha)'!N20)</f>
        <v>0</v>
      </c>
      <c r="O22" s="123">
        <f>SUM('Total Revenue &amp; Costs (500Ha)'!O20)</f>
        <v>0</v>
      </c>
      <c r="P22" s="123">
        <f>SUM('Total Revenue &amp; Costs (500Ha)'!P20)</f>
        <v>0</v>
      </c>
      <c r="Q22" s="123">
        <f>SUM('Total Revenue &amp; Costs (500Ha)'!Q20)</f>
        <v>0</v>
      </c>
      <c r="R22" s="123">
        <f>SUM('Total Revenue &amp; Costs (500Ha)'!R20)</f>
        <v>0</v>
      </c>
      <c r="S22" s="123">
        <f>SUM('Total Revenue &amp; Costs (500Ha)'!S20)</f>
        <v>0</v>
      </c>
      <c r="T22" s="123">
        <f>SUM('Total Revenue &amp; Costs (500Ha)'!T20)</f>
        <v>0</v>
      </c>
      <c r="U22" s="123">
        <f>SUM('Total Revenue &amp; Costs (500Ha)'!U20)</f>
        <v>0</v>
      </c>
      <c r="V22" s="123">
        <f>SUM('Total Revenue &amp; Costs (500Ha)'!V20)</f>
        <v>0</v>
      </c>
      <c r="W22" s="123">
        <f>SUM('Total Revenue &amp; Costs (500Ha)'!W20)</f>
        <v>0</v>
      </c>
      <c r="Y22" s="254"/>
      <c r="Z22" s="105"/>
      <c r="AA22" s="105"/>
      <c r="AB22" s="105"/>
      <c r="AC22" s="105"/>
      <c r="AD22" s="105"/>
      <c r="AE22" s="105"/>
      <c r="AF22" s="110"/>
    </row>
    <row r="23" spans="2:32" x14ac:dyDescent="0.2">
      <c r="Y23" s="109"/>
      <c r="Z23" s="14" t="s">
        <v>593</v>
      </c>
      <c r="AA23" s="105"/>
      <c r="AB23" s="105"/>
      <c r="AC23" s="105"/>
      <c r="AD23" s="105"/>
      <c r="AE23" s="255">
        <f>AE11-AE16-AE21</f>
        <v>440671.41014663468</v>
      </c>
      <c r="AF23" s="110"/>
    </row>
    <row r="24" spans="2:32" x14ac:dyDescent="0.2">
      <c r="B24" s="129" t="s">
        <v>182</v>
      </c>
      <c r="D24" s="123">
        <f>+D20+D22</f>
        <v>0</v>
      </c>
      <c r="E24" s="123">
        <f t="shared" ref="E24:W24" si="4">+E20+E22</f>
        <v>0</v>
      </c>
      <c r="F24" s="123">
        <f t="shared" si="4"/>
        <v>0</v>
      </c>
      <c r="G24" s="123">
        <f t="shared" si="4"/>
        <v>0</v>
      </c>
      <c r="H24" s="123">
        <f t="shared" si="4"/>
        <v>82936.666666666657</v>
      </c>
      <c r="I24" s="123">
        <f t="shared" si="4"/>
        <v>439538.58985336532</v>
      </c>
      <c r="J24" s="123">
        <f t="shared" si="4"/>
        <v>491473.58985336532</v>
      </c>
      <c r="K24" s="123">
        <f t="shared" si="4"/>
        <v>526506.08985336532</v>
      </c>
      <c r="L24" s="123">
        <f t="shared" si="4"/>
        <v>551689.83985336532</v>
      </c>
      <c r="M24" s="123">
        <f t="shared" si="4"/>
        <v>574587.65235336532</v>
      </c>
      <c r="N24" s="123">
        <f t="shared" si="4"/>
        <v>560937.33985336532</v>
      </c>
      <c r="O24" s="123">
        <f t="shared" si="4"/>
        <v>560110.0481866987</v>
      </c>
      <c r="P24" s="123">
        <f t="shared" si="4"/>
        <v>555973.58985336532</v>
      </c>
      <c r="Q24" s="123">
        <f t="shared" si="4"/>
        <v>559282.75652003195</v>
      </c>
      <c r="R24" s="123">
        <f t="shared" si="4"/>
        <v>565280.62110336532</v>
      </c>
      <c r="S24" s="123">
        <f t="shared" si="4"/>
        <v>567653.00161807123</v>
      </c>
      <c r="T24" s="123">
        <f t="shared" si="4"/>
        <v>569761.7842978097</v>
      </c>
      <c r="U24" s="123">
        <f t="shared" si="4"/>
        <v>576873.58985336532</v>
      </c>
      <c r="V24" s="123">
        <f t="shared" si="4"/>
        <v>575828.58985336532</v>
      </c>
      <c r="W24" s="123">
        <f t="shared" si="4"/>
        <v>575828.58985336532</v>
      </c>
      <c r="Y24" s="109"/>
      <c r="Z24" s="105"/>
      <c r="AA24" s="105"/>
      <c r="AB24" s="105"/>
      <c r="AC24" s="105"/>
      <c r="AD24" s="105"/>
      <c r="AE24" s="105"/>
      <c r="AF24" s="110"/>
    </row>
    <row r="25" spans="2:32" x14ac:dyDescent="0.2">
      <c r="Y25" s="109"/>
      <c r="Z25" s="105" t="s">
        <v>595</v>
      </c>
      <c r="AA25" s="105"/>
      <c r="AB25" s="105"/>
      <c r="AC25" s="105"/>
      <c r="AD25" s="105"/>
      <c r="AE25" s="251">
        <f>AE14+AE19</f>
        <v>152437.36538461538</v>
      </c>
      <c r="AF25" s="110"/>
    </row>
    <row r="26" spans="2:32" x14ac:dyDescent="0.2">
      <c r="B26" s="41" t="s">
        <v>183</v>
      </c>
      <c r="C26" s="41"/>
      <c r="D26" s="42">
        <f t="shared" ref="D26:W26" si="5">+D14-D24</f>
        <v>0</v>
      </c>
      <c r="E26" s="42">
        <f t="shared" si="5"/>
        <v>0</v>
      </c>
      <c r="F26" s="42">
        <f t="shared" si="5"/>
        <v>0</v>
      </c>
      <c r="G26" s="42">
        <f t="shared" si="5"/>
        <v>0</v>
      </c>
      <c r="H26" s="42">
        <f t="shared" si="5"/>
        <v>131063.33333333334</v>
      </c>
      <c r="I26" s="42">
        <f t="shared" si="5"/>
        <v>-11538.589853365324</v>
      </c>
      <c r="J26" s="42">
        <f t="shared" si="5"/>
        <v>150526.41014663468</v>
      </c>
      <c r="K26" s="42">
        <f t="shared" si="5"/>
        <v>275993.91014663468</v>
      </c>
      <c r="L26" s="42">
        <f t="shared" si="5"/>
        <v>357810.16014663468</v>
      </c>
      <c r="M26" s="42">
        <f t="shared" si="5"/>
        <v>441912.34764663468</v>
      </c>
      <c r="N26" s="42">
        <f t="shared" si="5"/>
        <v>455562.66014663468</v>
      </c>
      <c r="O26" s="42">
        <f t="shared" si="5"/>
        <v>456389.9518133013</v>
      </c>
      <c r="P26" s="42">
        <f t="shared" si="5"/>
        <v>460526.41014663468</v>
      </c>
      <c r="Q26" s="42">
        <f t="shared" si="5"/>
        <v>457217.24347996805</v>
      </c>
      <c r="R26" s="42">
        <f t="shared" si="5"/>
        <v>451219.37889663468</v>
      </c>
      <c r="S26" s="42">
        <f t="shared" si="5"/>
        <v>448846.99838192877</v>
      </c>
      <c r="T26" s="42">
        <f t="shared" si="5"/>
        <v>446738.2157021903</v>
      </c>
      <c r="U26" s="42">
        <f t="shared" si="5"/>
        <v>439626.41014663468</v>
      </c>
      <c r="V26" s="42">
        <f t="shared" si="5"/>
        <v>440671.41014663468</v>
      </c>
      <c r="W26" s="42">
        <f t="shared" si="5"/>
        <v>440671.41014663468</v>
      </c>
      <c r="Y26" s="109"/>
      <c r="Z26" s="105"/>
      <c r="AA26" s="105"/>
      <c r="AB26" s="105"/>
      <c r="AC26" s="105"/>
      <c r="AD26" s="105"/>
      <c r="AE26" s="105"/>
      <c r="AF26" s="110"/>
    </row>
    <row r="27" spans="2:32" x14ac:dyDescent="0.2">
      <c r="Y27" s="109"/>
      <c r="Z27" s="14" t="s">
        <v>594</v>
      </c>
      <c r="AA27" s="105"/>
      <c r="AB27" s="105"/>
      <c r="AC27" s="105"/>
      <c r="AD27" s="105"/>
      <c r="AE27" s="251">
        <f>AE23+AE25</f>
        <v>593108.77553125005</v>
      </c>
      <c r="AF27" s="110"/>
    </row>
    <row r="28" spans="2:32" ht="13.5" thickBot="1" x14ac:dyDescent="0.25">
      <c r="B28" s="129" t="s">
        <v>492</v>
      </c>
      <c r="D28" s="123">
        <f>+'Total Revenue &amp; Costs (500Ha)'!D24</f>
        <v>0</v>
      </c>
      <c r="E28" s="123">
        <f>+'Total Revenue &amp; Costs (500Ha)'!E24</f>
        <v>0</v>
      </c>
      <c r="F28" s="123">
        <f>+'Total Revenue &amp; Costs (500Ha)'!F24</f>
        <v>0</v>
      </c>
      <c r="G28" s="123">
        <f>+'Total Revenue &amp; Costs (500Ha)'!G24</f>
        <v>0</v>
      </c>
      <c r="H28" s="123">
        <f>+'Total Revenue &amp; Costs (500Ha)'!H24</f>
        <v>0</v>
      </c>
      <c r="I28" s="123">
        <f>+'Total Revenue &amp; Costs (500Ha)'!I24</f>
        <v>0</v>
      </c>
      <c r="J28" s="123">
        <f>+'Total Revenue &amp; Costs (500Ha)'!J24</f>
        <v>0</v>
      </c>
      <c r="K28" s="123">
        <f>+'Total Revenue &amp; Costs (500Ha)'!K24</f>
        <v>0</v>
      </c>
      <c r="L28" s="123">
        <f>+'Total Revenue &amp; Costs (500Ha)'!L24</f>
        <v>0</v>
      </c>
      <c r="M28" s="123">
        <f>+'Total Revenue &amp; Costs (500Ha)'!M24</f>
        <v>0</v>
      </c>
      <c r="N28" s="123">
        <f>+'Total Revenue &amp; Costs (500Ha)'!N24</f>
        <v>0</v>
      </c>
      <c r="O28" s="123">
        <f>+'Total Revenue &amp; Costs (500Ha)'!O24</f>
        <v>0</v>
      </c>
      <c r="P28" s="123">
        <f>+'Total Revenue &amp; Costs (500Ha)'!P24</f>
        <v>0</v>
      </c>
      <c r="Q28" s="123">
        <f>+'Total Revenue &amp; Costs (500Ha)'!Q24</f>
        <v>0</v>
      </c>
      <c r="R28" s="123">
        <f>+'Total Revenue &amp; Costs (500Ha)'!R24</f>
        <v>0</v>
      </c>
      <c r="S28" s="123">
        <f>+'Total Revenue &amp; Costs (500Ha)'!S24</f>
        <v>0</v>
      </c>
      <c r="T28" s="123">
        <f>+'Total Revenue &amp; Costs (500Ha)'!T24</f>
        <v>0</v>
      </c>
      <c r="U28" s="123">
        <f>+'Total Revenue &amp; Costs (500Ha)'!U24</f>
        <v>0</v>
      </c>
      <c r="V28" s="123">
        <f>+'Total Revenue &amp; Costs (500Ha)'!V24</f>
        <v>0</v>
      </c>
      <c r="W28" s="123">
        <f>+'Total Revenue &amp; Costs (500Ha)'!W24</f>
        <v>0</v>
      </c>
      <c r="Y28" s="112"/>
      <c r="Z28" s="113"/>
      <c r="AA28" s="113"/>
      <c r="AB28" s="113"/>
      <c r="AC28" s="113"/>
      <c r="AD28" s="113"/>
      <c r="AE28" s="113"/>
      <c r="AF28" s="115"/>
    </row>
    <row r="29" spans="2:32" x14ac:dyDescent="0.2">
      <c r="B29" s="129" t="s">
        <v>493</v>
      </c>
      <c r="D29" s="123">
        <f>+'Total Revenue &amp; Costs (500Ha)'!D23</f>
        <v>0</v>
      </c>
      <c r="E29" s="123">
        <f>+'Total Revenue &amp; Costs (500Ha)'!E23</f>
        <v>161229.44383379348</v>
      </c>
      <c r="F29" s="123">
        <f>+'Total Revenue &amp; Costs (500Ha)'!F23</f>
        <v>43169.91266426901</v>
      </c>
      <c r="G29" s="123">
        <f>+'Total Revenue &amp; Costs (500Ha)'!G23</f>
        <v>31843.191148798069</v>
      </c>
      <c r="H29" s="123">
        <f>+'Total Revenue &amp; Costs (500Ha)'!H23</f>
        <v>0</v>
      </c>
      <c r="I29" s="123">
        <f>+'Total Revenue &amp; Costs (500Ha)'!I23</f>
        <v>0</v>
      </c>
      <c r="J29" s="123">
        <f>+'Total Revenue &amp; Costs (500Ha)'!J23</f>
        <v>0</v>
      </c>
      <c r="K29" s="123">
        <f>+'Total Revenue &amp; Costs (500Ha)'!K23</f>
        <v>0</v>
      </c>
      <c r="L29" s="123">
        <f>+'Total Revenue &amp; Costs (500Ha)'!L23</f>
        <v>0</v>
      </c>
      <c r="M29" s="123">
        <f>+'Total Revenue &amp; Costs (500Ha)'!M23</f>
        <v>0</v>
      </c>
      <c r="N29" s="123">
        <f>+'Total Revenue &amp; Costs (500Ha)'!N23</f>
        <v>0</v>
      </c>
      <c r="O29" s="123">
        <f>+'Total Revenue &amp; Costs (500Ha)'!O23</f>
        <v>0</v>
      </c>
      <c r="P29" s="123">
        <f>+'Total Revenue &amp; Costs (500Ha)'!P23</f>
        <v>0</v>
      </c>
      <c r="Q29" s="123">
        <f>+'Total Revenue &amp; Costs (500Ha)'!Q23</f>
        <v>0</v>
      </c>
      <c r="R29" s="123">
        <f>+'Total Revenue &amp; Costs (500Ha)'!R23</f>
        <v>0</v>
      </c>
      <c r="S29" s="123">
        <f>+'Total Revenue &amp; Costs (500Ha)'!S23</f>
        <v>0</v>
      </c>
      <c r="T29" s="123">
        <f>+'Total Revenue &amp; Costs (500Ha)'!T23</f>
        <v>0</v>
      </c>
      <c r="U29" s="123">
        <f>+'Total Revenue &amp; Costs (500Ha)'!U23</f>
        <v>0</v>
      </c>
      <c r="V29" s="123">
        <f>+'Total Revenue &amp; Costs (500Ha)'!V23</f>
        <v>0</v>
      </c>
      <c r="W29" s="123">
        <f>+'Total Revenue &amp; Costs (500Ha)'!W23</f>
        <v>0</v>
      </c>
    </row>
    <row r="30" spans="2:32" x14ac:dyDescent="0.2">
      <c r="B30" s="129" t="s">
        <v>404</v>
      </c>
      <c r="D30" s="123">
        <f>+'Finance (500Ha)'!D102+'Finance (500Ha)'!D101</f>
        <v>0</v>
      </c>
      <c r="E30" s="123">
        <f>+'Finance (500Ha)'!E102+'Finance (500Ha)'!E101</f>
        <v>80614.721916896742</v>
      </c>
      <c r="F30" s="123">
        <f>+'Finance (500Ha)'!F102+'Finance (500Ha)'!F101</f>
        <v>102199.67824903125</v>
      </c>
      <c r="G30" s="123">
        <f>+'Finance (500Ha)'!G102+'Finance (500Ha)'!G101</f>
        <v>118121.27382343028</v>
      </c>
      <c r="H30" s="123">
        <f>+'Finance (500Ha)'!H102+'Finance (500Ha)'!H101</f>
        <v>130126.60332210816</v>
      </c>
      <c r="I30" s="123">
        <f>+'Finance (500Ha)'!I102+'Finance (500Ha)'!I101</f>
        <v>130126.60332210816</v>
      </c>
      <c r="J30" s="123">
        <f>+'Finance (500Ha)'!J102+'Finance (500Ha)'!J101</f>
        <v>130126.60332210816</v>
      </c>
      <c r="K30" s="123">
        <f>+'Finance (500Ha)'!K102+'Finance (500Ha)'!K101</f>
        <v>130126.60332210816</v>
      </c>
      <c r="L30" s="123">
        <f>+'Finance (500Ha)'!L102+'Finance (500Ha)'!L101</f>
        <v>130126.60332210816</v>
      </c>
      <c r="M30" s="123">
        <f>+'Finance (500Ha)'!M102+'Finance (500Ha)'!M101</f>
        <v>130126.60332210816</v>
      </c>
      <c r="N30" s="123">
        <f>+'Finance (500Ha)'!N102+'Finance (500Ha)'!N101</f>
        <v>130126.60332210816</v>
      </c>
      <c r="O30" s="123">
        <f>+'Finance (500Ha)'!O102+'Finance (500Ha)'!O101</f>
        <v>130126.60332210816</v>
      </c>
      <c r="P30" s="123">
        <f>+'Finance (500Ha)'!P102+'Finance (500Ha)'!P101</f>
        <v>130126.60332210816</v>
      </c>
      <c r="Q30" s="123">
        <f>+'Finance (500Ha)'!Q102+'Finance (500Ha)'!Q101</f>
        <v>130126.60332210816</v>
      </c>
      <c r="R30" s="123">
        <f>+'Finance (500Ha)'!R102+'Finance (500Ha)'!R101</f>
        <v>130126.60332210816</v>
      </c>
      <c r="S30" s="123">
        <f>+'Finance (500Ha)'!S102+'Finance (500Ha)'!S101</f>
        <v>130126.60332210816</v>
      </c>
      <c r="T30" s="123">
        <f>+'Finance (500Ha)'!T102+'Finance (500Ha)'!T101</f>
        <v>130126.60332210816</v>
      </c>
      <c r="U30" s="123">
        <f>+'Finance (500Ha)'!U102+'Finance (500Ha)'!U101</f>
        <v>130126.60332210816</v>
      </c>
      <c r="V30" s="123">
        <f>+'Finance (500Ha)'!V102+'Finance (500Ha)'!V101</f>
        <v>130126.60332210816</v>
      </c>
      <c r="W30" s="123">
        <f>+'Finance (500Ha)'!W102+'Finance (500Ha)'!W101</f>
        <v>130126.60332210816</v>
      </c>
    </row>
    <row r="32" spans="2:32" x14ac:dyDescent="0.2">
      <c r="B32" s="41" t="s">
        <v>184</v>
      </c>
      <c r="C32" s="41"/>
      <c r="D32" s="42">
        <f t="shared" ref="D32:W32" si="6">+D26-SUM(D28:D30)</f>
        <v>0</v>
      </c>
      <c r="E32" s="42">
        <f t="shared" si="6"/>
        <v>-241844.16575069021</v>
      </c>
      <c r="F32" s="42">
        <f t="shared" si="6"/>
        <v>-145369.59091330026</v>
      </c>
      <c r="G32" s="42">
        <f t="shared" si="6"/>
        <v>-149964.46497222834</v>
      </c>
      <c r="H32" s="42">
        <f t="shared" si="6"/>
        <v>936.73001122518326</v>
      </c>
      <c r="I32" s="42">
        <f t="shared" si="6"/>
        <v>-141665.19317547348</v>
      </c>
      <c r="J32" s="42">
        <f t="shared" si="6"/>
        <v>20399.806824526517</v>
      </c>
      <c r="K32" s="42">
        <f t="shared" si="6"/>
        <v>145867.30682452652</v>
      </c>
      <c r="L32" s="42">
        <f t="shared" si="6"/>
        <v>227683.55682452652</v>
      </c>
      <c r="M32" s="42">
        <f t="shared" si="6"/>
        <v>311785.74432452652</v>
      </c>
      <c r="N32" s="42">
        <f t="shared" si="6"/>
        <v>325436.05682452652</v>
      </c>
      <c r="O32" s="42">
        <f t="shared" si="6"/>
        <v>326263.34849119314</v>
      </c>
      <c r="P32" s="42">
        <f t="shared" si="6"/>
        <v>330399.80682452652</v>
      </c>
      <c r="Q32" s="42">
        <f t="shared" si="6"/>
        <v>327090.64015785989</v>
      </c>
      <c r="R32" s="42">
        <f t="shared" si="6"/>
        <v>321092.77557452652</v>
      </c>
      <c r="S32" s="42">
        <f t="shared" si="6"/>
        <v>318720.39505982061</v>
      </c>
      <c r="T32" s="42">
        <f t="shared" si="6"/>
        <v>316611.61238008214</v>
      </c>
      <c r="U32" s="42">
        <f t="shared" si="6"/>
        <v>309499.80682452652</v>
      </c>
      <c r="V32" s="42">
        <f t="shared" si="6"/>
        <v>310544.80682452652</v>
      </c>
      <c r="W32" s="42">
        <f t="shared" si="6"/>
        <v>310544.80682452652</v>
      </c>
    </row>
    <row r="33" spans="2:23" x14ac:dyDescent="0.2"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7"/>
      <c r="P33" s="123"/>
    </row>
    <row r="34" spans="2:23" x14ac:dyDescent="0.2">
      <c r="B34" s="129" t="s">
        <v>185</v>
      </c>
      <c r="D34" s="123">
        <f>+'Finance (500Ha)'!D99</f>
        <v>0</v>
      </c>
      <c r="E34" s="123">
        <f>+'Finance (500Ha)'!E99</f>
        <v>0</v>
      </c>
      <c r="F34" s="123">
        <f>+'Finance (500Ha)'!F99</f>
        <v>0</v>
      </c>
      <c r="G34" s="123">
        <f>+'Finance (500Ha)'!G99</f>
        <v>0</v>
      </c>
      <c r="H34" s="123">
        <f>+'Finance (500Ha)'!H99</f>
        <v>0</v>
      </c>
      <c r="I34" s="123">
        <f>+'Finance (500Ha)'!I99</f>
        <v>0</v>
      </c>
      <c r="J34" s="123">
        <f>+'Finance (500Ha)'!J99</f>
        <v>0</v>
      </c>
      <c r="K34" s="123">
        <f>+'Finance (500Ha)'!K99</f>
        <v>0</v>
      </c>
      <c r="L34" s="123">
        <f>+'Finance (500Ha)'!L99</f>
        <v>0</v>
      </c>
      <c r="M34" s="123">
        <f>+'Finance (500Ha)'!M99</f>
        <v>0</v>
      </c>
      <c r="N34" s="123">
        <f>+'Finance (500Ha)'!N99</f>
        <v>0</v>
      </c>
      <c r="O34" s="123">
        <f>+'Finance (500Ha)'!O99</f>
        <v>0</v>
      </c>
      <c r="P34" s="123">
        <f>+'Finance (500Ha)'!P99</f>
        <v>0</v>
      </c>
      <c r="Q34" s="123">
        <f>+'Finance (500Ha)'!Q99</f>
        <v>0</v>
      </c>
      <c r="R34" s="123">
        <f>+'Finance (500Ha)'!R99</f>
        <v>0</v>
      </c>
      <c r="S34" s="123">
        <f>+'Finance (500Ha)'!S99</f>
        <v>0</v>
      </c>
      <c r="T34" s="123">
        <f>+'Finance (500Ha)'!T99</f>
        <v>0</v>
      </c>
      <c r="U34" s="123">
        <f>+'Finance (500Ha)'!U99</f>
        <v>0</v>
      </c>
      <c r="V34" s="123">
        <f>+'Finance (500Ha)'!V99</f>
        <v>0</v>
      </c>
      <c r="W34" s="123">
        <f>+'Finance (500Ha)'!W99</f>
        <v>0</v>
      </c>
    </row>
    <row r="35" spans="2:23" x14ac:dyDescent="0.2">
      <c r="B35" s="129" t="s">
        <v>186</v>
      </c>
    </row>
    <row r="36" spans="2:23" x14ac:dyDescent="0.2">
      <c r="B36" s="129" t="s">
        <v>187</v>
      </c>
    </row>
    <row r="37" spans="2:23" x14ac:dyDescent="0.2">
      <c r="B37" s="38" t="s">
        <v>188</v>
      </c>
    </row>
    <row r="39" spans="2:23" x14ac:dyDescent="0.2">
      <c r="B39" s="41" t="s">
        <v>189</v>
      </c>
      <c r="C39" s="41"/>
      <c r="D39" s="42">
        <f>+D32-SUM(D34:D37)</f>
        <v>0</v>
      </c>
      <c r="E39" s="42">
        <f t="shared" ref="E39:W39" si="7">+E32-SUM(E34:E37)</f>
        <v>-241844.16575069021</v>
      </c>
      <c r="F39" s="42">
        <f t="shared" si="7"/>
        <v>-145369.59091330026</v>
      </c>
      <c r="G39" s="42">
        <f t="shared" si="7"/>
        <v>-149964.46497222834</v>
      </c>
      <c r="H39" s="42">
        <f t="shared" si="7"/>
        <v>936.73001122518326</v>
      </c>
      <c r="I39" s="42">
        <f t="shared" si="7"/>
        <v>-141665.19317547348</v>
      </c>
      <c r="J39" s="42">
        <f t="shared" si="7"/>
        <v>20399.806824526517</v>
      </c>
      <c r="K39" s="42">
        <f t="shared" si="7"/>
        <v>145867.30682452652</v>
      </c>
      <c r="L39" s="42">
        <f t="shared" si="7"/>
        <v>227683.55682452652</v>
      </c>
      <c r="M39" s="42">
        <f t="shared" si="7"/>
        <v>311785.74432452652</v>
      </c>
      <c r="N39" s="42">
        <f t="shared" si="7"/>
        <v>325436.05682452652</v>
      </c>
      <c r="O39" s="42">
        <f t="shared" si="7"/>
        <v>326263.34849119314</v>
      </c>
      <c r="P39" s="42">
        <f t="shared" si="7"/>
        <v>330399.80682452652</v>
      </c>
      <c r="Q39" s="42">
        <f t="shared" si="7"/>
        <v>327090.64015785989</v>
      </c>
      <c r="R39" s="42">
        <f t="shared" si="7"/>
        <v>321092.77557452652</v>
      </c>
      <c r="S39" s="42">
        <f t="shared" si="7"/>
        <v>318720.39505982061</v>
      </c>
      <c r="T39" s="42">
        <f t="shared" si="7"/>
        <v>316611.61238008214</v>
      </c>
      <c r="U39" s="42">
        <f t="shared" si="7"/>
        <v>309499.80682452652</v>
      </c>
      <c r="V39" s="42">
        <f t="shared" si="7"/>
        <v>310544.80682452652</v>
      </c>
      <c r="W39" s="42">
        <f t="shared" si="7"/>
        <v>310544.80682452652</v>
      </c>
    </row>
    <row r="41" spans="2:23" x14ac:dyDescent="0.2">
      <c r="B41" s="129" t="s">
        <v>190</v>
      </c>
      <c r="C41" s="76">
        <f>'Inputs General'!E22</f>
        <v>0</v>
      </c>
      <c r="E41" s="123">
        <f>+IF(SUM($E39:E39)&lt;0,0,E39*$C41)</f>
        <v>0</v>
      </c>
      <c r="F41" s="123">
        <f>+IF(SUM($E39:F39)&lt;0,0,F39*$C41)</f>
        <v>0</v>
      </c>
      <c r="G41" s="123">
        <f>+IF(SUM($E39:G39)&lt;0,0,G39*$C41)</f>
        <v>0</v>
      </c>
      <c r="H41" s="123">
        <f>+IF(SUM($E39:H39)&lt;0,0,H39*$C41)</f>
        <v>0</v>
      </c>
      <c r="I41" s="123">
        <f>+IF(SUM($E39:I39)&lt;0,0,I39*$C41)</f>
        <v>0</v>
      </c>
      <c r="J41" s="123">
        <f>+IF(SUM($E39:J39)&lt;0,0,J39*$C41)</f>
        <v>0</v>
      </c>
      <c r="K41" s="123">
        <f>+IF(SUM($E39:K39)&lt;0,0,K39*$C41)</f>
        <v>0</v>
      </c>
      <c r="L41" s="123">
        <f>+IF(SUM($E39:L39)&lt;0,0,L39*$C41)</f>
        <v>0</v>
      </c>
      <c r="M41" s="123">
        <f>+IF(SUM($E39:M39)&lt;0,0,M39*$C41)</f>
        <v>0</v>
      </c>
      <c r="N41" s="123">
        <f>+IF(SUM($E39:N39)&lt;0,0,N39*$C41)</f>
        <v>0</v>
      </c>
      <c r="O41" s="123">
        <f>+IF(SUM($E39:O39)&lt;0,0,O39*$C41)</f>
        <v>0</v>
      </c>
      <c r="P41" s="123">
        <f>+IF(SUM($E39:P39)&lt;0,0,P39*$C41)</f>
        <v>0</v>
      </c>
      <c r="Q41" s="123">
        <f>+IF(SUM($E39:Q39)&lt;0,0,Q39*$C41)</f>
        <v>0</v>
      </c>
      <c r="R41" s="123">
        <f>+IF(SUM($E39:R39)&lt;0,0,R39*$C41)</f>
        <v>0</v>
      </c>
      <c r="S41" s="123">
        <f>+IF(SUM($E39:S39)&lt;0,0,S39*$C41)</f>
        <v>0</v>
      </c>
      <c r="T41" s="123">
        <f>+IF(SUM($E39:T39)&lt;0,0,T39*$C41)</f>
        <v>0</v>
      </c>
      <c r="U41" s="123">
        <f>+IF(SUM($E39:U39)&lt;0,0,U39*$C41)</f>
        <v>0</v>
      </c>
      <c r="V41" s="123">
        <f>+IF(SUM($E39:V39)&lt;0,0,V39*$C41)</f>
        <v>0</v>
      </c>
      <c r="W41" s="123">
        <f>+IF(SUM($E39:W39)&lt;0,0,W39*$C41)</f>
        <v>0</v>
      </c>
    </row>
    <row r="43" spans="2:23" x14ac:dyDescent="0.2">
      <c r="B43" s="41" t="s">
        <v>191</v>
      </c>
      <c r="C43" s="41"/>
      <c r="D43" s="42">
        <f>+D39-D41</f>
        <v>0</v>
      </c>
      <c r="E43" s="42">
        <f t="shared" ref="E43:W43" si="8">+E39-E41</f>
        <v>-241844.16575069021</v>
      </c>
      <c r="F43" s="42">
        <f t="shared" si="8"/>
        <v>-145369.59091330026</v>
      </c>
      <c r="G43" s="42">
        <f t="shared" si="8"/>
        <v>-149964.46497222834</v>
      </c>
      <c r="H43" s="42">
        <f t="shared" si="8"/>
        <v>936.73001122518326</v>
      </c>
      <c r="I43" s="42">
        <f t="shared" si="8"/>
        <v>-141665.19317547348</v>
      </c>
      <c r="J43" s="42">
        <f t="shared" si="8"/>
        <v>20399.806824526517</v>
      </c>
      <c r="K43" s="42">
        <f t="shared" si="8"/>
        <v>145867.30682452652</v>
      </c>
      <c r="L43" s="42">
        <f>+L39-L41</f>
        <v>227683.55682452652</v>
      </c>
      <c r="M43" s="42">
        <f t="shared" si="8"/>
        <v>311785.74432452652</v>
      </c>
      <c r="N43" s="42">
        <f t="shared" si="8"/>
        <v>325436.05682452652</v>
      </c>
      <c r="O43" s="42">
        <f t="shared" si="8"/>
        <v>326263.34849119314</v>
      </c>
      <c r="P43" s="42">
        <f t="shared" si="8"/>
        <v>330399.80682452652</v>
      </c>
      <c r="Q43" s="42">
        <f t="shared" si="8"/>
        <v>327090.64015785989</v>
      </c>
      <c r="R43" s="42">
        <f t="shared" si="8"/>
        <v>321092.77557452652</v>
      </c>
      <c r="S43" s="42">
        <f>+S39-S41</f>
        <v>318720.39505982061</v>
      </c>
      <c r="T43" s="42">
        <f t="shared" si="8"/>
        <v>316611.61238008214</v>
      </c>
      <c r="U43" s="42">
        <f t="shared" si="8"/>
        <v>309499.80682452652</v>
      </c>
      <c r="V43" s="42">
        <f t="shared" si="8"/>
        <v>310544.80682452652</v>
      </c>
      <c r="W43" s="42">
        <f t="shared" si="8"/>
        <v>310544.80682452652</v>
      </c>
    </row>
    <row r="45" spans="2:23" x14ac:dyDescent="0.2">
      <c r="B45" s="129" t="s">
        <v>192</v>
      </c>
    </row>
    <row r="46" spans="2:23" x14ac:dyDescent="0.2">
      <c r="B46" s="129" t="s">
        <v>193</v>
      </c>
    </row>
    <row r="48" spans="2:23" x14ac:dyDescent="0.2">
      <c r="B48" s="41" t="s">
        <v>194</v>
      </c>
      <c r="C48" s="41"/>
      <c r="D48" s="42">
        <f>+D43-SUM(D45:D46)</f>
        <v>0</v>
      </c>
      <c r="E48" s="42">
        <f t="shared" ref="E48:W48" si="9">+E43-SUM(E45:E46)</f>
        <v>-241844.16575069021</v>
      </c>
      <c r="F48" s="42">
        <f t="shared" si="9"/>
        <v>-145369.59091330026</v>
      </c>
      <c r="G48" s="42">
        <f t="shared" si="9"/>
        <v>-149964.46497222834</v>
      </c>
      <c r="H48" s="42">
        <f t="shared" si="9"/>
        <v>936.73001122518326</v>
      </c>
      <c r="I48" s="42">
        <f t="shared" si="9"/>
        <v>-141665.19317547348</v>
      </c>
      <c r="J48" s="42">
        <f t="shared" si="9"/>
        <v>20399.806824526517</v>
      </c>
      <c r="K48" s="42">
        <f t="shared" si="9"/>
        <v>145867.30682452652</v>
      </c>
      <c r="L48" s="42">
        <f>+L43-SUM(L45:L46)</f>
        <v>227683.55682452652</v>
      </c>
      <c r="M48" s="42">
        <f t="shared" si="9"/>
        <v>311785.74432452652</v>
      </c>
      <c r="N48" s="42">
        <f t="shared" si="9"/>
        <v>325436.05682452652</v>
      </c>
      <c r="O48" s="42">
        <f t="shared" si="9"/>
        <v>326263.34849119314</v>
      </c>
      <c r="P48" s="42">
        <f t="shared" si="9"/>
        <v>330399.80682452652</v>
      </c>
      <c r="Q48" s="42">
        <f t="shared" si="9"/>
        <v>327090.64015785989</v>
      </c>
      <c r="R48" s="42">
        <f t="shared" si="9"/>
        <v>321092.77557452652</v>
      </c>
      <c r="S48" s="42">
        <f t="shared" si="9"/>
        <v>318720.39505982061</v>
      </c>
      <c r="T48" s="42">
        <f t="shared" si="9"/>
        <v>316611.61238008214</v>
      </c>
      <c r="U48" s="42">
        <f t="shared" si="9"/>
        <v>309499.80682452652</v>
      </c>
      <c r="V48" s="42">
        <f t="shared" si="9"/>
        <v>310544.80682452652</v>
      </c>
      <c r="W48" s="42">
        <f t="shared" si="9"/>
        <v>310544.80682452652</v>
      </c>
    </row>
    <row r="51" spans="2:23" x14ac:dyDescent="0.2">
      <c r="B51" s="129" t="s">
        <v>195</v>
      </c>
      <c r="D51" s="82" t="e">
        <f t="shared" ref="D51:W51" si="10">+D26/D14</f>
        <v>#DIV/0!</v>
      </c>
      <c r="E51" s="82" t="e">
        <f t="shared" si="10"/>
        <v>#DIV/0!</v>
      </c>
      <c r="F51" s="82" t="e">
        <f t="shared" si="10"/>
        <v>#DIV/0!</v>
      </c>
      <c r="G51" s="82" t="e">
        <f t="shared" si="10"/>
        <v>#DIV/0!</v>
      </c>
      <c r="H51" s="82">
        <f t="shared" si="10"/>
        <v>0.61244548286604361</v>
      </c>
      <c r="I51" s="82">
        <f t="shared" si="10"/>
        <v>-2.6959322087302159E-2</v>
      </c>
      <c r="J51" s="82">
        <f t="shared" si="10"/>
        <v>0.23446481331251506</v>
      </c>
      <c r="K51" s="82">
        <f t="shared" si="10"/>
        <v>0.34391764504253541</v>
      </c>
      <c r="L51" s="82">
        <f t="shared" si="10"/>
        <v>0.39341413979838885</v>
      </c>
      <c r="M51" s="82">
        <f t="shared" si="10"/>
        <v>0.43473915164450044</v>
      </c>
      <c r="N51" s="82">
        <f t="shared" si="10"/>
        <v>0.44816788996225743</v>
      </c>
      <c r="O51" s="82">
        <f t="shared" si="10"/>
        <v>0.44898175289060632</v>
      </c>
      <c r="P51" s="82">
        <f t="shared" si="10"/>
        <v>0.45305106753235086</v>
      </c>
      <c r="Q51" s="82">
        <f t="shared" si="10"/>
        <v>0.44979561581895527</v>
      </c>
      <c r="R51" s="82">
        <f t="shared" si="10"/>
        <v>0.44389510958842565</v>
      </c>
      <c r="S51" s="82">
        <f t="shared" si="10"/>
        <v>0.44156123795566038</v>
      </c>
      <c r="T51" s="82">
        <f t="shared" si="10"/>
        <v>0.43948668539320246</v>
      </c>
      <c r="U51" s="82">
        <f t="shared" si="10"/>
        <v>0.43249031986879949</v>
      </c>
      <c r="V51" s="82">
        <f t="shared" si="10"/>
        <v>0.43351835725197707</v>
      </c>
      <c r="W51" s="82">
        <f t="shared" si="10"/>
        <v>0.43351835725197707</v>
      </c>
    </row>
    <row r="55" spans="2:23" x14ac:dyDescent="0.2">
      <c r="B55" s="129" t="s">
        <v>202</v>
      </c>
    </row>
    <row r="56" spans="2:23" x14ac:dyDescent="0.2">
      <c r="B56" s="129" t="s">
        <v>201</v>
      </c>
      <c r="D56" s="123">
        <f>+D48</f>
        <v>0</v>
      </c>
      <c r="E56" s="123">
        <f>+E48+D56</f>
        <v>-241844.16575069021</v>
      </c>
      <c r="F56" s="123">
        <f t="shared" ref="F56:W56" si="11">+F48+E56</f>
        <v>-387213.75666399044</v>
      </c>
      <c r="G56" s="123">
        <f t="shared" si="11"/>
        <v>-537178.22163621872</v>
      </c>
      <c r="H56" s="123">
        <f t="shared" si="11"/>
        <v>-536241.4916249935</v>
      </c>
      <c r="I56" s="123">
        <f t="shared" si="11"/>
        <v>-677906.68480046699</v>
      </c>
      <c r="J56" s="123">
        <f t="shared" si="11"/>
        <v>-657506.87797594047</v>
      </c>
      <c r="K56" s="123">
        <f t="shared" si="11"/>
        <v>-511639.57115141395</v>
      </c>
      <c r="L56" s="123">
        <f t="shared" si="11"/>
        <v>-283956.01432688744</v>
      </c>
      <c r="M56" s="123">
        <f t="shared" si="11"/>
        <v>27829.729997639079</v>
      </c>
      <c r="N56" s="123">
        <f t="shared" si="11"/>
        <v>353265.7868221656</v>
      </c>
      <c r="O56" s="123">
        <f t="shared" si="11"/>
        <v>679529.13531335874</v>
      </c>
      <c r="P56" s="123">
        <f t="shared" si="11"/>
        <v>1009928.9421378853</v>
      </c>
      <c r="Q56" s="123">
        <f t="shared" si="11"/>
        <v>1337019.5822957451</v>
      </c>
      <c r="R56" s="123">
        <f t="shared" si="11"/>
        <v>1658112.3578702717</v>
      </c>
      <c r="S56" s="123">
        <f t="shared" si="11"/>
        <v>1976832.7529300922</v>
      </c>
      <c r="T56" s="123">
        <f t="shared" si="11"/>
        <v>2293444.3653101744</v>
      </c>
      <c r="U56" s="123">
        <f t="shared" si="11"/>
        <v>2602944.1721347012</v>
      </c>
      <c r="V56" s="123">
        <f t="shared" si="11"/>
        <v>2913488.9789592279</v>
      </c>
      <c r="W56" s="123">
        <f t="shared" si="11"/>
        <v>3224033.7857837547</v>
      </c>
    </row>
    <row r="66" spans="4:23" x14ac:dyDescent="0.2"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4:23" x14ac:dyDescent="0.2"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</row>
    <row r="68" spans="4:23" x14ac:dyDescent="0.2"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</row>
    <row r="69" spans="4:23" x14ac:dyDescent="0.2"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</row>
    <row r="70" spans="4:23" x14ac:dyDescent="0.2"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</row>
    <row r="71" spans="4:23" x14ac:dyDescent="0.2"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</row>
    <row r="72" spans="4:23" x14ac:dyDescent="0.2"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</row>
    <row r="73" spans="4:23" x14ac:dyDescent="0.2"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4" spans="4:23" x14ac:dyDescent="0.2"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</row>
    <row r="75" spans="4:23" x14ac:dyDescent="0.2"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</row>
    <row r="76" spans="4:23" x14ac:dyDescent="0.2"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</row>
    <row r="77" spans="4:23" x14ac:dyDescent="0.2"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</row>
    <row r="78" spans="4:23" x14ac:dyDescent="0.2"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</row>
    <row r="79" spans="4:23" x14ac:dyDescent="0.2"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</row>
    <row r="80" spans="4:23" x14ac:dyDescent="0.2"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</row>
    <row r="81" spans="4:23" x14ac:dyDescent="0.2"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</row>
    <row r="83" spans="4:23" x14ac:dyDescent="0.2"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</row>
    <row r="84" spans="4:23" x14ac:dyDescent="0.2"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</row>
    <row r="86" spans="4:23" x14ac:dyDescent="0.2"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</row>
    <row r="87" spans="4:23" x14ac:dyDescent="0.2"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</row>
    <row r="89" spans="4:23" x14ac:dyDescent="0.2">
      <c r="D89" s="4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Y45"/>
  <sheetViews>
    <sheetView showGridLines="0" topLeftCell="B1" zoomScale="85" zoomScaleNormal="85" workbookViewId="0">
      <pane xSplit="2" ySplit="4" topLeftCell="O5" activePane="bottomRight" state="frozen"/>
      <selection activeCell="B1" sqref="B1"/>
      <selection pane="topRight" activeCell="D1" sqref="D1"/>
      <selection pane="bottomLeft" activeCell="B2" sqref="B2"/>
      <selection pane="bottomRight" activeCell="W18" sqref="W18"/>
    </sheetView>
  </sheetViews>
  <sheetFormatPr defaultRowHeight="12.75" x14ac:dyDescent="0.2"/>
  <cols>
    <col min="1" max="1" width="9.140625" style="129"/>
    <col min="2" max="2" width="44.85546875" style="129" customWidth="1"/>
    <col min="3" max="3" width="14.85546875" style="129" customWidth="1"/>
    <col min="4" max="23" width="15.7109375" style="129" customWidth="1"/>
    <col min="24" max="16384" width="9.140625" style="129"/>
  </cols>
  <sheetData>
    <row r="1" spans="2:23" ht="13.5" thickBot="1" x14ac:dyDescent="0.25"/>
    <row r="2" spans="2:23" ht="14.25" thickTop="1" thickBot="1" x14ac:dyDescent="0.25">
      <c r="B2" s="214" t="s">
        <v>483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1" t="s">
        <v>399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129" t="s">
        <v>116</v>
      </c>
      <c r="D5" s="82">
        <v>1</v>
      </c>
      <c r="E5" s="82">
        <f>$D5*(1+'Inputs General'!$C5)^(E4-$D4)</f>
        <v>1</v>
      </c>
      <c r="F5" s="82">
        <f>$D5*(1+'Inputs General'!$C5)^(F4-$D4)</f>
        <v>1</v>
      </c>
      <c r="G5" s="82">
        <f>$D5*(1+'Inputs General'!$C5)^(G4-$D4)</f>
        <v>1</v>
      </c>
      <c r="H5" s="82">
        <f>$D5*(1+'Inputs General'!$C5)^(H4-$D4)</f>
        <v>1</v>
      </c>
      <c r="I5" s="82">
        <f>$D5*(1+'Inputs General'!$C5)^(I4-$D4)</f>
        <v>1</v>
      </c>
      <c r="J5" s="82">
        <f>$D5*(1+'Inputs General'!$C5)^(J4-$D4)</f>
        <v>1</v>
      </c>
      <c r="K5" s="82">
        <f>$D5*(1+'Inputs General'!$C5)^(K4-$D4)</f>
        <v>1</v>
      </c>
      <c r="L5" s="82">
        <f>$D5*(1+'Inputs General'!$C5)^(L4-$D4)</f>
        <v>1</v>
      </c>
      <c r="M5" s="82">
        <f>$D5*(1+'Inputs General'!$C5)^(M4-$D4)</f>
        <v>1</v>
      </c>
      <c r="N5" s="82">
        <f>$D5*(1+'Inputs General'!$C5)^(N4-$D4)</f>
        <v>1</v>
      </c>
      <c r="O5" s="82">
        <f>$D5*(1+'Inputs General'!$C5)^(O4-$D4)</f>
        <v>1</v>
      </c>
      <c r="P5" s="82">
        <f>$D5*(1+'Inputs General'!$C5)^(P4-$D4)</f>
        <v>1</v>
      </c>
      <c r="Q5" s="82">
        <f>$D5*(1+'Inputs General'!$C5)^(Q4-$D4)</f>
        <v>1</v>
      </c>
      <c r="R5" s="82">
        <f>$D5*(1+'Inputs General'!$C5)^(R4-$D4)</f>
        <v>1</v>
      </c>
      <c r="S5" s="82">
        <f>$D5*(1+'Inputs General'!$C5)^(S4-$D4)</f>
        <v>1</v>
      </c>
      <c r="T5" s="82">
        <f>$D5*(1+'Inputs General'!$C5)^(T4-$D4)</f>
        <v>1</v>
      </c>
      <c r="U5" s="82">
        <f>$D5*(1+'Inputs General'!$C5)^(U4-$D4)</f>
        <v>1</v>
      </c>
      <c r="V5" s="82">
        <f>$D5*(1+'Inputs General'!$C5)^(V4-$D4)</f>
        <v>1</v>
      </c>
      <c r="W5" s="82">
        <f>$D5*(1+'Inputs General'!$C5)^(W4-$D4)</f>
        <v>1</v>
      </c>
    </row>
    <row r="7" spans="2:23" x14ac:dyDescent="0.2">
      <c r="B7" s="129" t="s">
        <v>150</v>
      </c>
      <c r="C7" s="121"/>
      <c r="D7" s="123">
        <f>+'Field Ops (500Ha)'!F17</f>
        <v>0</v>
      </c>
      <c r="E7" s="123">
        <f>+'Field Ops (500Ha)'!G17</f>
        <v>500</v>
      </c>
      <c r="F7" s="123">
        <f>+'Field Ops (500Ha)'!H17</f>
        <v>500</v>
      </c>
      <c r="G7" s="123">
        <f>+'Field Ops (500Ha)'!I17</f>
        <v>500</v>
      </c>
      <c r="H7" s="123">
        <f>+'Field Ops (500Ha)'!J17</f>
        <v>500</v>
      </c>
      <c r="I7" s="123">
        <f>+'Field Ops (500Ha)'!K17</f>
        <v>500</v>
      </c>
      <c r="J7" s="123">
        <f>+'Field Ops (500Ha)'!L17</f>
        <v>500</v>
      </c>
      <c r="K7" s="123">
        <f>+'Field Ops (500Ha)'!M17</f>
        <v>500</v>
      </c>
      <c r="L7" s="123">
        <f>+'Field Ops (500Ha)'!N17</f>
        <v>500</v>
      </c>
      <c r="M7" s="123">
        <f>+'Field Ops (500Ha)'!O17</f>
        <v>500</v>
      </c>
      <c r="N7" s="123">
        <f>+'Field Ops (500Ha)'!P17</f>
        <v>500</v>
      </c>
      <c r="O7" s="123">
        <f>+'Field Ops (500Ha)'!Q17</f>
        <v>500</v>
      </c>
      <c r="P7" s="123">
        <f>+'Field Ops (500Ha)'!R17</f>
        <v>500</v>
      </c>
      <c r="Q7" s="123">
        <f>+'Field Ops (500Ha)'!S17</f>
        <v>500</v>
      </c>
      <c r="R7" s="123">
        <f>+'Field Ops (500Ha)'!T17</f>
        <v>500</v>
      </c>
      <c r="S7" s="123">
        <f>+'Field Ops (500Ha)'!U17</f>
        <v>500</v>
      </c>
      <c r="T7" s="123">
        <f>+'Field Ops (500Ha)'!V17</f>
        <v>500</v>
      </c>
      <c r="U7" s="123">
        <f>+'Field Ops (500Ha)'!W17</f>
        <v>500</v>
      </c>
      <c r="V7" s="123">
        <f>+'Field Ops (500Ha)'!X17</f>
        <v>500</v>
      </c>
      <c r="W7" s="123">
        <f>+'Field Ops (500Ha)'!Y17</f>
        <v>500</v>
      </c>
    </row>
    <row r="8" spans="2:23" x14ac:dyDescent="0.2">
      <c r="B8" s="129" t="s">
        <v>153</v>
      </c>
      <c r="C8" s="121"/>
      <c r="D8" s="123">
        <f>+D7</f>
        <v>0</v>
      </c>
      <c r="E8" s="123">
        <f t="shared" ref="E8:W8" si="1">+E7</f>
        <v>500</v>
      </c>
      <c r="F8" s="123">
        <f t="shared" si="1"/>
        <v>500</v>
      </c>
      <c r="G8" s="123">
        <f t="shared" si="1"/>
        <v>500</v>
      </c>
      <c r="H8" s="123">
        <f t="shared" si="1"/>
        <v>500</v>
      </c>
      <c r="I8" s="123">
        <f t="shared" si="1"/>
        <v>500</v>
      </c>
      <c r="J8" s="123">
        <f t="shared" si="1"/>
        <v>500</v>
      </c>
      <c r="K8" s="123">
        <f t="shared" si="1"/>
        <v>500</v>
      </c>
      <c r="L8" s="123">
        <f t="shared" si="1"/>
        <v>500</v>
      </c>
      <c r="M8" s="123">
        <f t="shared" si="1"/>
        <v>500</v>
      </c>
      <c r="N8" s="123">
        <f t="shared" si="1"/>
        <v>500</v>
      </c>
      <c r="O8" s="123">
        <f t="shared" si="1"/>
        <v>500</v>
      </c>
      <c r="P8" s="123">
        <f t="shared" si="1"/>
        <v>500</v>
      </c>
      <c r="Q8" s="123">
        <f t="shared" si="1"/>
        <v>500</v>
      </c>
      <c r="R8" s="123">
        <f t="shared" si="1"/>
        <v>500</v>
      </c>
      <c r="S8" s="123">
        <f t="shared" si="1"/>
        <v>500</v>
      </c>
      <c r="T8" s="123">
        <f t="shared" si="1"/>
        <v>500</v>
      </c>
      <c r="U8" s="123">
        <f t="shared" si="1"/>
        <v>500</v>
      </c>
      <c r="V8" s="123">
        <f t="shared" si="1"/>
        <v>500</v>
      </c>
      <c r="W8" s="123">
        <f t="shared" si="1"/>
        <v>500</v>
      </c>
    </row>
    <row r="10" spans="2:23" x14ac:dyDescent="0.2">
      <c r="B10" s="129" t="s">
        <v>98</v>
      </c>
      <c r="C10" s="121" t="s">
        <v>152</v>
      </c>
      <c r="D10" s="123">
        <f>+'Field Ops (500Ha)'!F34</f>
        <v>0</v>
      </c>
      <c r="E10" s="123">
        <f>+'Field Ops (500Ha)'!G34</f>
        <v>0</v>
      </c>
      <c r="F10" s="123">
        <f>+'Field Ops (500Ha)'!H34</f>
        <v>0</v>
      </c>
      <c r="G10" s="123">
        <f>+'Field Ops (500Ha)'!I34</f>
        <v>0</v>
      </c>
      <c r="H10" s="123">
        <f>+'Field Ops (500Ha)'!J34</f>
        <v>2000</v>
      </c>
      <c r="I10" s="123">
        <f>+'Field Ops (500Ha)'!K34</f>
        <v>4000</v>
      </c>
      <c r="J10" s="123">
        <f>+'Field Ops (500Ha)'!L34</f>
        <v>6000</v>
      </c>
      <c r="K10" s="123">
        <f>+'Field Ops (500Ha)'!M34</f>
        <v>7500</v>
      </c>
      <c r="L10" s="123">
        <f>+'Field Ops (500Ha)'!N34</f>
        <v>8500</v>
      </c>
      <c r="M10" s="123">
        <f>+'Field Ops (500Ha)'!O34</f>
        <v>9500</v>
      </c>
      <c r="N10" s="123">
        <f>+'Field Ops (500Ha)'!P34</f>
        <v>9500</v>
      </c>
      <c r="O10" s="123">
        <f>+'Field Ops (500Ha)'!Q34</f>
        <v>9500</v>
      </c>
      <c r="P10" s="123">
        <f>+'Field Ops (500Ha)'!R34</f>
        <v>9500</v>
      </c>
      <c r="Q10" s="123">
        <f>+'Field Ops (500Ha)'!S34</f>
        <v>9500</v>
      </c>
      <c r="R10" s="123">
        <f>+'Field Ops (500Ha)'!T34</f>
        <v>9500</v>
      </c>
      <c r="S10" s="123">
        <f>+'Field Ops (500Ha)'!U34</f>
        <v>9500</v>
      </c>
      <c r="T10" s="123">
        <f>+'Field Ops (500Ha)'!V34</f>
        <v>9500</v>
      </c>
      <c r="U10" s="123">
        <f>+'Field Ops (500Ha)'!W34</f>
        <v>9500</v>
      </c>
      <c r="V10" s="123">
        <f>+'Field Ops (500Ha)'!X34</f>
        <v>9500</v>
      </c>
      <c r="W10" s="123">
        <f>+'Field Ops (500Ha)'!Y34</f>
        <v>9500</v>
      </c>
    </row>
    <row r="11" spans="2:23" x14ac:dyDescent="0.2">
      <c r="C11" s="121" t="s">
        <v>466</v>
      </c>
    </row>
    <row r="12" spans="2:23" x14ac:dyDescent="0.2">
      <c r="B12" s="129" t="s">
        <v>403</v>
      </c>
      <c r="C12" s="80">
        <f>+'Assumptions &amp; Costs'!G123</f>
        <v>107</v>
      </c>
      <c r="D12" s="123">
        <f>+D10*$C12*D5</f>
        <v>0</v>
      </c>
      <c r="E12" s="123">
        <f t="shared" ref="E12:W12" si="2">+E10*$C12*E5</f>
        <v>0</v>
      </c>
      <c r="F12" s="123">
        <f t="shared" si="2"/>
        <v>0</v>
      </c>
      <c r="G12" s="123">
        <f t="shared" si="2"/>
        <v>0</v>
      </c>
      <c r="H12" s="123">
        <f t="shared" si="2"/>
        <v>214000</v>
      </c>
      <c r="I12" s="123">
        <f t="shared" si="2"/>
        <v>428000</v>
      </c>
      <c r="J12" s="123">
        <f t="shared" si="2"/>
        <v>642000</v>
      </c>
      <c r="K12" s="123">
        <f t="shared" si="2"/>
        <v>802500</v>
      </c>
      <c r="L12" s="123">
        <f t="shared" si="2"/>
        <v>909500</v>
      </c>
      <c r="M12" s="123">
        <f t="shared" si="2"/>
        <v>1016500</v>
      </c>
      <c r="N12" s="123">
        <f t="shared" si="2"/>
        <v>1016500</v>
      </c>
      <c r="O12" s="123">
        <f t="shared" si="2"/>
        <v>1016500</v>
      </c>
      <c r="P12" s="123">
        <f t="shared" si="2"/>
        <v>1016500</v>
      </c>
      <c r="Q12" s="123">
        <f t="shared" si="2"/>
        <v>1016500</v>
      </c>
      <c r="R12" s="123">
        <f t="shared" si="2"/>
        <v>1016500</v>
      </c>
      <c r="S12" s="123">
        <f t="shared" si="2"/>
        <v>1016500</v>
      </c>
      <c r="T12" s="123">
        <f t="shared" si="2"/>
        <v>1016500</v>
      </c>
      <c r="U12" s="123">
        <f t="shared" si="2"/>
        <v>1016500</v>
      </c>
      <c r="V12" s="123">
        <f t="shared" si="2"/>
        <v>1016500</v>
      </c>
      <c r="W12" s="123">
        <f t="shared" si="2"/>
        <v>1016500</v>
      </c>
    </row>
    <row r="14" spans="2:23" x14ac:dyDescent="0.2">
      <c r="B14" s="129" t="s">
        <v>484</v>
      </c>
      <c r="D14" s="123">
        <f>+D12</f>
        <v>0</v>
      </c>
      <c r="E14" s="123">
        <f t="shared" ref="E14:W14" si="3">+E12</f>
        <v>0</v>
      </c>
      <c r="F14" s="123">
        <f t="shared" si="3"/>
        <v>0</v>
      </c>
      <c r="G14" s="123">
        <f t="shared" si="3"/>
        <v>0</v>
      </c>
      <c r="H14" s="123">
        <f t="shared" si="3"/>
        <v>214000</v>
      </c>
      <c r="I14" s="123">
        <f t="shared" si="3"/>
        <v>428000</v>
      </c>
      <c r="J14" s="123">
        <f t="shared" si="3"/>
        <v>642000</v>
      </c>
      <c r="K14" s="123">
        <f t="shared" si="3"/>
        <v>802500</v>
      </c>
      <c r="L14" s="123">
        <f t="shared" si="3"/>
        <v>909500</v>
      </c>
      <c r="M14" s="123">
        <f t="shared" si="3"/>
        <v>1016500</v>
      </c>
      <c r="N14" s="123">
        <f t="shared" si="3"/>
        <v>1016500</v>
      </c>
      <c r="O14" s="123">
        <f t="shared" si="3"/>
        <v>1016500</v>
      </c>
      <c r="P14" s="123">
        <f t="shared" si="3"/>
        <v>1016500</v>
      </c>
      <c r="Q14" s="123">
        <f t="shared" si="3"/>
        <v>1016500</v>
      </c>
      <c r="R14" s="123">
        <f t="shared" si="3"/>
        <v>1016500</v>
      </c>
      <c r="S14" s="123">
        <f t="shared" si="3"/>
        <v>1016500</v>
      </c>
      <c r="T14" s="123">
        <f t="shared" si="3"/>
        <v>1016500</v>
      </c>
      <c r="U14" s="123">
        <f t="shared" si="3"/>
        <v>1016500</v>
      </c>
      <c r="V14" s="123">
        <f t="shared" si="3"/>
        <v>1016500</v>
      </c>
      <c r="W14" s="123">
        <f t="shared" si="3"/>
        <v>1016500</v>
      </c>
    </row>
    <row r="15" spans="2:23" x14ac:dyDescent="0.2"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2:23" x14ac:dyDescent="0.2">
      <c r="B16" s="129" t="s">
        <v>470</v>
      </c>
    </row>
    <row r="17" spans="2:25" x14ac:dyDescent="0.2">
      <c r="B17" s="129" t="s">
        <v>368</v>
      </c>
      <c r="D17" s="123">
        <f>+'Field Ops (500Ha)'!F211*D$5</f>
        <v>0</v>
      </c>
      <c r="E17" s="123">
        <f>+'Field Ops (500Ha)'!G211*E$5</f>
        <v>1612294.4383379347</v>
      </c>
      <c r="F17" s="123">
        <f>+'Field Ops (500Ha)'!H211*F$5</f>
        <v>431699.12664269004</v>
      </c>
      <c r="G17" s="123">
        <f>+'Field Ops (500Ha)'!I211*G$5</f>
        <v>318431.91148798069</v>
      </c>
      <c r="H17" s="123">
        <f>+'Field Ops (500Ha)'!J211*H$5</f>
        <v>240106.58997355765</v>
      </c>
      <c r="I17" s="123">
        <f>+'Field Ops (500Ha)'!K211*I$5</f>
        <v>0</v>
      </c>
      <c r="J17" s="123">
        <f>+'Field Ops (500Ha)'!L211*J$5</f>
        <v>0</v>
      </c>
      <c r="K17" s="123">
        <f>+'Field Ops (500Ha)'!M211*K$5</f>
        <v>0</v>
      </c>
      <c r="L17" s="123">
        <f>+'Field Ops (500Ha)'!N211*L$5</f>
        <v>0</v>
      </c>
      <c r="M17" s="123">
        <f>+'Field Ops (500Ha)'!O211*M$5</f>
        <v>0</v>
      </c>
      <c r="N17" s="123">
        <f>+'Field Ops (500Ha)'!P211*N$5</f>
        <v>0</v>
      </c>
      <c r="O17" s="123">
        <f>+'Field Ops (500Ha)'!Q211*O$5</f>
        <v>0</v>
      </c>
      <c r="P17" s="123">
        <f>+'Field Ops (500Ha)'!R211*P$5</f>
        <v>0</v>
      </c>
      <c r="Q17" s="123">
        <f>+'Field Ops (500Ha)'!S211*Q$5</f>
        <v>0</v>
      </c>
      <c r="R17" s="123">
        <f>+'Field Ops (500Ha)'!T211*R$5</f>
        <v>0</v>
      </c>
      <c r="S17" s="123">
        <f>+'Field Ops (500Ha)'!U211*S$5</f>
        <v>0</v>
      </c>
      <c r="T17" s="123">
        <f>+'Field Ops (500Ha)'!V211*T$5</f>
        <v>0</v>
      </c>
      <c r="U17" s="123">
        <f>+'Field Ops (500Ha)'!W211*U$5</f>
        <v>0</v>
      </c>
      <c r="V17" s="123">
        <f>+'Field Ops (500Ha)'!X211*V$5</f>
        <v>0</v>
      </c>
      <c r="W17" s="123">
        <f>+'Field Ops (500Ha)'!Y211*W$5</f>
        <v>0</v>
      </c>
    </row>
    <row r="18" spans="2:25" x14ac:dyDescent="0.2">
      <c r="B18" s="129" t="s">
        <v>365</v>
      </c>
      <c r="D18" s="123">
        <f>+'Field Ops (500Ha)'!F212*D$5</f>
        <v>0</v>
      </c>
      <c r="E18" s="123">
        <f>+'Field Ops (500Ha)'!G212*E$5</f>
        <v>0</v>
      </c>
      <c r="F18" s="123">
        <f>+'Field Ops (500Ha)'!H212*F$5</f>
        <v>0</v>
      </c>
      <c r="G18" s="123">
        <f>+'Field Ops (500Ha)'!I212*G$5</f>
        <v>0</v>
      </c>
      <c r="H18" s="123">
        <f>+'Field Ops (500Ha)'!J212*H$5</f>
        <v>0</v>
      </c>
      <c r="I18" s="123">
        <f>+'Field Ops (500Ha)'!K212*I$5</f>
        <v>304318.58985336532</v>
      </c>
      <c r="J18" s="123">
        <f>+'Field Ops (500Ha)'!L212*J$5</f>
        <v>304318.58985336532</v>
      </c>
      <c r="K18" s="123">
        <f>+'Field Ops (500Ha)'!M212*K$5</f>
        <v>304318.58985336532</v>
      </c>
      <c r="L18" s="123">
        <f>+'Field Ops (500Ha)'!N212*L$5</f>
        <v>304318.58985336532</v>
      </c>
      <c r="M18" s="123">
        <f>+'Field Ops (500Ha)'!O212*M$5</f>
        <v>304318.58985336532</v>
      </c>
      <c r="N18" s="123">
        <f>+'Field Ops (500Ha)'!P212*N$5</f>
        <v>304318.58985336532</v>
      </c>
      <c r="O18" s="123">
        <f>+'Field Ops (500Ha)'!Q212*O$5</f>
        <v>304318.58985336532</v>
      </c>
      <c r="P18" s="123">
        <f>+'Field Ops (500Ha)'!R212*P$5</f>
        <v>304318.58985336532</v>
      </c>
      <c r="Q18" s="123">
        <f>+'Field Ops (500Ha)'!S212*Q$5</f>
        <v>304318.58985336532</v>
      </c>
      <c r="R18" s="123">
        <f>+'Field Ops (500Ha)'!T212*R$5</f>
        <v>304318.58985336532</v>
      </c>
      <c r="S18" s="123">
        <f>+'Field Ops (500Ha)'!U212*S$5</f>
        <v>304318.58985336532</v>
      </c>
      <c r="T18" s="123">
        <f>+'Field Ops (500Ha)'!V212*T$5</f>
        <v>304318.58985336532</v>
      </c>
      <c r="U18" s="123">
        <f>+'Field Ops (500Ha)'!W212*U$5</f>
        <v>304318.58985336532</v>
      </c>
      <c r="V18" s="123">
        <f>+'Field Ops (500Ha)'!X212*V$5</f>
        <v>304318.58985336532</v>
      </c>
      <c r="W18" s="123">
        <f>+'Field Ops (500Ha)'!Y212*W$5</f>
        <v>304318.58985336532</v>
      </c>
    </row>
    <row r="19" spans="2:25" x14ac:dyDescent="0.2">
      <c r="B19" s="129" t="s">
        <v>366</v>
      </c>
      <c r="D19" s="123">
        <f>+'Field Ops (500Ha)'!F213*D$5</f>
        <v>0</v>
      </c>
      <c r="E19" s="123">
        <f>+'Field Ops (500Ha)'!G213*E$5</f>
        <v>0</v>
      </c>
      <c r="F19" s="123">
        <f>+'Field Ops (500Ha)'!H213*F$5</f>
        <v>0</v>
      </c>
      <c r="G19" s="123">
        <f>+'Field Ops (500Ha)'!I213*G$5</f>
        <v>0</v>
      </c>
      <c r="H19" s="123">
        <f>+'Field Ops (500Ha)'!J213*H$5</f>
        <v>82936.666666666657</v>
      </c>
      <c r="I19" s="123">
        <f>+'Field Ops (500Ha)'!K213*I$5</f>
        <v>135220</v>
      </c>
      <c r="J19" s="123">
        <f>+'Field Ops (500Ha)'!L213*J$5</f>
        <v>187155</v>
      </c>
      <c r="K19" s="123">
        <f>+'Field Ops (500Ha)'!M213*K$5</f>
        <v>222187.5</v>
      </c>
      <c r="L19" s="123">
        <f>+'Field Ops (500Ha)'!N213*L$5</f>
        <v>247371.25</v>
      </c>
      <c r="M19" s="123">
        <f>+'Field Ops (500Ha)'!O213*M$5</f>
        <v>270269.0625</v>
      </c>
      <c r="N19" s="123">
        <f>+'Field Ops (500Ha)'!P213*N$5</f>
        <v>256618.75</v>
      </c>
      <c r="O19" s="123">
        <f>+'Field Ops (500Ha)'!Q213*O$5</f>
        <v>255791.45833333334</v>
      </c>
      <c r="P19" s="123">
        <f>+'Field Ops (500Ha)'!R213*P$5</f>
        <v>251655</v>
      </c>
      <c r="Q19" s="123">
        <f>+'Field Ops (500Ha)'!S213*Q$5</f>
        <v>254964.16666666669</v>
      </c>
      <c r="R19" s="123">
        <f>+'Field Ops (500Ha)'!T213*R$5</f>
        <v>260962.03125</v>
      </c>
      <c r="S19" s="123">
        <f>+'Field Ops (500Ha)'!U213*S$5</f>
        <v>263334.4117647059</v>
      </c>
      <c r="T19" s="123">
        <f>+'Field Ops (500Ha)'!V213*T$5</f>
        <v>265443.19444444444</v>
      </c>
      <c r="U19" s="123">
        <f>+'Field Ops (500Ha)'!W213*U$5</f>
        <v>272555</v>
      </c>
      <c r="V19" s="123">
        <f>+'Field Ops (500Ha)'!X213*V$5</f>
        <v>271510</v>
      </c>
      <c r="W19" s="123">
        <f>+'Field Ops (500Ha)'!Y213*W$5</f>
        <v>271510</v>
      </c>
    </row>
    <row r="20" spans="2:25" x14ac:dyDescent="0.2">
      <c r="B20" s="105" t="s">
        <v>405</v>
      </c>
      <c r="D20" s="123">
        <f>+D37</f>
        <v>0</v>
      </c>
      <c r="E20" s="123">
        <f>+E37-D37</f>
        <v>0</v>
      </c>
      <c r="F20" s="123">
        <f t="shared" ref="F20:W21" si="4">+F37-E37</f>
        <v>0</v>
      </c>
      <c r="G20" s="123">
        <f t="shared" si="4"/>
        <v>0</v>
      </c>
      <c r="H20" s="123">
        <f t="shared" si="4"/>
        <v>0</v>
      </c>
      <c r="I20" s="123">
        <f t="shared" si="4"/>
        <v>0</v>
      </c>
      <c r="J20" s="123">
        <f t="shared" si="4"/>
        <v>0</v>
      </c>
      <c r="K20" s="123">
        <f t="shared" si="4"/>
        <v>0</v>
      </c>
      <c r="L20" s="123">
        <f t="shared" si="4"/>
        <v>0</v>
      </c>
      <c r="M20" s="123">
        <f t="shared" si="4"/>
        <v>0</v>
      </c>
      <c r="N20" s="123">
        <f t="shared" si="4"/>
        <v>0</v>
      </c>
      <c r="O20" s="123">
        <f t="shared" si="4"/>
        <v>0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23">
        <f t="shared" si="4"/>
        <v>0</v>
      </c>
      <c r="T20" s="123">
        <f t="shared" si="4"/>
        <v>0</v>
      </c>
      <c r="U20" s="123">
        <f t="shared" si="4"/>
        <v>0</v>
      </c>
      <c r="V20" s="123">
        <f t="shared" si="4"/>
        <v>0</v>
      </c>
      <c r="W20" s="123">
        <f t="shared" si="4"/>
        <v>0</v>
      </c>
    </row>
    <row r="21" spans="2:25" x14ac:dyDescent="0.2">
      <c r="B21" s="105" t="s">
        <v>204</v>
      </c>
      <c r="D21" s="123">
        <f>+D38</f>
        <v>0</v>
      </c>
      <c r="E21" s="123">
        <f>+E38-D38</f>
        <v>0</v>
      </c>
      <c r="F21" s="123">
        <f t="shared" si="4"/>
        <v>0</v>
      </c>
      <c r="G21" s="123">
        <f t="shared" si="4"/>
        <v>0</v>
      </c>
      <c r="H21" s="123">
        <f t="shared" si="4"/>
        <v>0</v>
      </c>
      <c r="I21" s="123">
        <f t="shared" si="4"/>
        <v>0</v>
      </c>
      <c r="J21" s="123">
        <f t="shared" si="4"/>
        <v>0</v>
      </c>
      <c r="K21" s="123">
        <f t="shared" si="4"/>
        <v>0</v>
      </c>
      <c r="L21" s="123">
        <f t="shared" si="4"/>
        <v>0</v>
      </c>
      <c r="M21" s="123">
        <f t="shared" si="4"/>
        <v>0</v>
      </c>
      <c r="N21" s="123">
        <f t="shared" si="4"/>
        <v>0</v>
      </c>
      <c r="O21" s="123">
        <f t="shared" si="4"/>
        <v>0</v>
      </c>
      <c r="P21" s="123">
        <f t="shared" si="4"/>
        <v>0</v>
      </c>
      <c r="Q21" s="123">
        <f t="shared" si="4"/>
        <v>0</v>
      </c>
      <c r="R21" s="123">
        <f t="shared" si="4"/>
        <v>0</v>
      </c>
      <c r="S21" s="123">
        <f t="shared" si="4"/>
        <v>0</v>
      </c>
      <c r="T21" s="123">
        <f t="shared" si="4"/>
        <v>0</v>
      </c>
      <c r="U21" s="123">
        <f t="shared" si="4"/>
        <v>0</v>
      </c>
      <c r="V21" s="123">
        <f t="shared" si="4"/>
        <v>0</v>
      </c>
      <c r="W21" s="123">
        <f t="shared" si="4"/>
        <v>0</v>
      </c>
    </row>
    <row r="22" spans="2:25" x14ac:dyDescent="0.2">
      <c r="B22" s="105" t="s">
        <v>205</v>
      </c>
      <c r="C22" s="123"/>
      <c r="D22" s="123">
        <f>+(D39-D40)</f>
        <v>0</v>
      </c>
      <c r="E22" s="123">
        <f t="shared" ref="E22:W22" si="5">+(E39-E40)</f>
        <v>0</v>
      </c>
      <c r="F22" s="123">
        <f t="shared" si="5"/>
        <v>0</v>
      </c>
      <c r="G22" s="123">
        <f t="shared" si="5"/>
        <v>0</v>
      </c>
      <c r="H22" s="123">
        <f t="shared" si="5"/>
        <v>0</v>
      </c>
      <c r="I22" s="123">
        <f t="shared" si="5"/>
        <v>0</v>
      </c>
      <c r="J22" s="123">
        <f t="shared" si="5"/>
        <v>0</v>
      </c>
      <c r="K22" s="123">
        <f t="shared" si="5"/>
        <v>0</v>
      </c>
      <c r="L22" s="123">
        <f t="shared" si="5"/>
        <v>0</v>
      </c>
      <c r="M22" s="123">
        <f t="shared" si="5"/>
        <v>0</v>
      </c>
      <c r="N22" s="123">
        <f t="shared" si="5"/>
        <v>0</v>
      </c>
      <c r="O22" s="123">
        <f t="shared" si="5"/>
        <v>0</v>
      </c>
      <c r="P22" s="123">
        <f t="shared" si="5"/>
        <v>0</v>
      </c>
      <c r="Q22" s="123">
        <f t="shared" si="5"/>
        <v>0</v>
      </c>
      <c r="R22" s="123">
        <f t="shared" si="5"/>
        <v>0</v>
      </c>
      <c r="S22" s="123">
        <f t="shared" si="5"/>
        <v>0</v>
      </c>
      <c r="T22" s="123">
        <f t="shared" si="5"/>
        <v>0</v>
      </c>
      <c r="U22" s="123">
        <f t="shared" si="5"/>
        <v>0</v>
      </c>
      <c r="V22" s="123">
        <f t="shared" si="5"/>
        <v>0</v>
      </c>
      <c r="W22" s="123">
        <f t="shared" si="5"/>
        <v>0</v>
      </c>
    </row>
    <row r="23" spans="2:25" x14ac:dyDescent="0.2">
      <c r="B23" s="129" t="s">
        <v>493</v>
      </c>
      <c r="C23" s="43">
        <f>+'Assumptions &amp; Costs'!C127</f>
        <v>0.1</v>
      </c>
      <c r="D23" s="123">
        <v>0</v>
      </c>
      <c r="E23" s="123">
        <f>SUM(E$17:E$19)*$C23</f>
        <v>161229.44383379348</v>
      </c>
      <c r="F23" s="123">
        <f>IF('Finance (500Ha)'!F20&gt;0,SUM(F$17:F$19)*$C23,0)</f>
        <v>43169.91266426901</v>
      </c>
      <c r="G23" s="123">
        <f>IF('Finance (500Ha)'!G20&gt;0,SUM(G$17:G$19)*$C23,0)</f>
        <v>31843.191148798069</v>
      </c>
      <c r="H23" s="123">
        <f>IF('Finance (500Ha)'!H20&gt;0,SUM(H$17:H$19)*$C23,0)</f>
        <v>0</v>
      </c>
      <c r="I23" s="123">
        <f>IF('Finance (500Ha)'!I20&gt;0,SUM(I$17:I$19)*$C23,0)</f>
        <v>0</v>
      </c>
      <c r="J23" s="123">
        <f>IF('Finance (500Ha)'!J20&gt;0,SUM(J$17:J$19)*$C23,0)</f>
        <v>0</v>
      </c>
      <c r="K23" s="123">
        <f>IF('Finance (500Ha)'!K20&gt;0,SUM(K$17:K$19)*$C23,0)</f>
        <v>0</v>
      </c>
      <c r="L23" s="123">
        <f>IF('Finance (500Ha)'!L20&gt;0,SUM(L$17:L$19)*$C23,0)</f>
        <v>0</v>
      </c>
      <c r="M23" s="123">
        <f>IF('Finance (500Ha)'!M20&gt;0,SUM(M$17:M$19)*$C23,0)</f>
        <v>0</v>
      </c>
      <c r="N23" s="123">
        <f>IF('Finance (500Ha)'!N20&gt;0,SUM(N$17:N$19)*$C23,0)</f>
        <v>0</v>
      </c>
      <c r="O23" s="123">
        <f>IF('Finance (500Ha)'!O20&gt;0,SUM(O$17:O$19)*$C23,0)</f>
        <v>0</v>
      </c>
      <c r="P23" s="123">
        <f>IF('Finance (500Ha)'!P20&gt;0,SUM(P$17:P$19)*$C23,0)</f>
        <v>0</v>
      </c>
      <c r="Q23" s="123">
        <f>IF('Finance (500Ha)'!Q20&gt;0,SUM(Q$17:Q$19)*$C23,0)</f>
        <v>0</v>
      </c>
      <c r="R23" s="123">
        <f>IF('Finance (500Ha)'!R20&gt;0,SUM(R$17:R$19)*$C23,0)</f>
        <v>0</v>
      </c>
      <c r="S23" s="123">
        <f>IF('Finance (500Ha)'!S20&gt;0,SUM(S$17:S$19)*$C23,0)</f>
        <v>0</v>
      </c>
      <c r="T23" s="123">
        <f>IF('Finance (500Ha)'!T20&gt;0,SUM(T$17:T$19)*$C23,0)</f>
        <v>0</v>
      </c>
      <c r="U23" s="123">
        <f>IF('Finance (500Ha)'!U20&gt;0,SUM(U$17:U$19)*$C23,0)</f>
        <v>0</v>
      </c>
      <c r="V23" s="123">
        <f>IF('Finance (500Ha)'!V20&gt;0,SUM(V$17:V$19)*$C23,0)</f>
        <v>0</v>
      </c>
      <c r="W23" s="123">
        <f>IF('Finance (500Ha)'!W20&gt;0,SUM(W$17:W$19)*$C23,0)</f>
        <v>0</v>
      </c>
      <c r="Y23" s="123">
        <f t="shared" ref="Y23:Y24" si="6">SUM(D23:W23)</f>
        <v>236242.54764686056</v>
      </c>
    </row>
    <row r="24" spans="2:25" x14ac:dyDescent="0.2">
      <c r="B24" s="129" t="s">
        <v>492</v>
      </c>
      <c r="C24" s="43">
        <f>+'Assumptions &amp; Costs'!C126</f>
        <v>0</v>
      </c>
      <c r="D24" s="123">
        <v>0</v>
      </c>
      <c r="E24" s="123">
        <f t="shared" ref="E24" si="7">SUM(E$17:E$19)*$C24</f>
        <v>0</v>
      </c>
      <c r="F24" s="123">
        <f>IF('Finance (500Ha)'!F20&gt;0,SUM(F$17:F$19)*$C24,0)</f>
        <v>0</v>
      </c>
      <c r="G24" s="123">
        <f>IF('Finance (500Ha)'!G20&gt;0,SUM(G$17:G$19)*$C24,0)</f>
        <v>0</v>
      </c>
      <c r="H24" s="123">
        <f>IF('Finance (500Ha)'!H20&gt;0,SUM(H$17:H$19)*$C24,0)</f>
        <v>0</v>
      </c>
      <c r="I24" s="123">
        <f>IF('Finance (500Ha)'!I20&gt;0,SUM(I$17:I$19)*$C24,0)</f>
        <v>0</v>
      </c>
      <c r="J24" s="123">
        <f>IF('Finance (500Ha)'!J20&gt;0,SUM(J$17:J$19)*$C24,0)</f>
        <v>0</v>
      </c>
      <c r="K24" s="123">
        <f>IF('Finance (500Ha)'!K20&gt;0,SUM(K$17:K$19)*$C24,0)</f>
        <v>0</v>
      </c>
      <c r="L24" s="123">
        <f>IF('Finance (500Ha)'!L20&gt;0,SUM(L$17:L$19)*$C24,0)</f>
        <v>0</v>
      </c>
      <c r="M24" s="123">
        <f>IF('Finance (500Ha)'!M20&gt;0,SUM(M$17:M$19)*$C24,0)</f>
        <v>0</v>
      </c>
      <c r="N24" s="123">
        <f>IF('Finance (500Ha)'!N20&gt;0,SUM(N$17:N$19)*$C24,0)</f>
        <v>0</v>
      </c>
      <c r="O24" s="123">
        <f>IF('Finance (500Ha)'!O20&gt;0,SUM(O$17:O$19)*$C24,0)</f>
        <v>0</v>
      </c>
      <c r="P24" s="123">
        <f>IF('Finance (500Ha)'!P20&gt;0,SUM(P$17:P$19)*$C24,0)</f>
        <v>0</v>
      </c>
      <c r="Q24" s="123">
        <f>IF('Finance (500Ha)'!Q20&gt;0,SUM(Q$17:Q$19)*$C24,0)</f>
        <v>0</v>
      </c>
      <c r="R24" s="123">
        <f>IF('Finance (500Ha)'!R20&gt;0,SUM(R$17:R$19)*$C24,0)</f>
        <v>0</v>
      </c>
      <c r="S24" s="123">
        <f>IF('Finance (500Ha)'!S20&gt;0,SUM(S$17:S$19)*$C24,0)</f>
        <v>0</v>
      </c>
      <c r="T24" s="123">
        <f>IF('Finance (500Ha)'!T20&gt;0,SUM(T$17:T$19)*$C24,0)</f>
        <v>0</v>
      </c>
      <c r="U24" s="123">
        <f>IF('Finance (500Ha)'!U20&gt;0,SUM(U$17:U$19)*$C24,0)</f>
        <v>0</v>
      </c>
      <c r="V24" s="123">
        <f>IF('Finance (500Ha)'!V20&gt;0,SUM(V$17:V$19)*$C24,0)</f>
        <v>0</v>
      </c>
      <c r="W24" s="123">
        <f>IF('Finance (500Ha)'!W20&gt;0,SUM(W$17:W$19)*$C24,0)</f>
        <v>0</v>
      </c>
      <c r="Y24" s="123">
        <f t="shared" si="6"/>
        <v>0</v>
      </c>
    </row>
    <row r="25" spans="2:25" x14ac:dyDescent="0.2">
      <c r="C25" s="121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  <row r="26" spans="2:25" x14ac:dyDescent="0.2">
      <c r="B26" s="129" t="s">
        <v>471</v>
      </c>
      <c r="C26" s="121"/>
      <c r="D26" s="123">
        <f t="shared" ref="D26:W26" si="8">SUM(D17:D24)</f>
        <v>0</v>
      </c>
      <c r="E26" s="123">
        <f t="shared" si="8"/>
        <v>1773523.8821717282</v>
      </c>
      <c r="F26" s="123">
        <f t="shared" si="8"/>
        <v>474869.03930695902</v>
      </c>
      <c r="G26" s="123">
        <f t="shared" si="8"/>
        <v>350275.10263677873</v>
      </c>
      <c r="H26" s="123">
        <f t="shared" si="8"/>
        <v>323043.25664022431</v>
      </c>
      <c r="I26" s="123">
        <f t="shared" si="8"/>
        <v>439538.58985336532</v>
      </c>
      <c r="J26" s="123">
        <f t="shared" si="8"/>
        <v>491473.58985336532</v>
      </c>
      <c r="K26" s="123">
        <f t="shared" si="8"/>
        <v>526506.08985336532</v>
      </c>
      <c r="L26" s="123">
        <f t="shared" si="8"/>
        <v>551689.83985336532</v>
      </c>
      <c r="M26" s="123">
        <f t="shared" si="8"/>
        <v>574587.65235336532</v>
      </c>
      <c r="N26" s="123">
        <f t="shared" si="8"/>
        <v>560937.33985336532</v>
      </c>
      <c r="O26" s="123">
        <f t="shared" si="8"/>
        <v>560110.0481866987</v>
      </c>
      <c r="P26" s="123">
        <f t="shared" si="8"/>
        <v>555973.58985336532</v>
      </c>
      <c r="Q26" s="123">
        <f t="shared" si="8"/>
        <v>559282.75652003195</v>
      </c>
      <c r="R26" s="123">
        <f t="shared" si="8"/>
        <v>565280.62110336532</v>
      </c>
      <c r="S26" s="123">
        <f t="shared" si="8"/>
        <v>567653.00161807123</v>
      </c>
      <c r="T26" s="123">
        <f t="shared" si="8"/>
        <v>569761.7842978097</v>
      </c>
      <c r="U26" s="123">
        <f t="shared" si="8"/>
        <v>576873.58985336532</v>
      </c>
      <c r="V26" s="123">
        <f t="shared" si="8"/>
        <v>575828.58985336532</v>
      </c>
      <c r="W26" s="123">
        <f t="shared" si="8"/>
        <v>575828.58985336532</v>
      </c>
    </row>
    <row r="27" spans="2:25" x14ac:dyDescent="0.2">
      <c r="C27" s="121"/>
    </row>
    <row r="28" spans="2:25" x14ac:dyDescent="0.2">
      <c r="B28" s="129" t="s">
        <v>472</v>
      </c>
      <c r="C28" s="121"/>
      <c r="D28" s="123">
        <f t="shared" ref="D28:W28" si="9">+D14-D26</f>
        <v>0</v>
      </c>
      <c r="E28" s="123">
        <f t="shared" si="9"/>
        <v>-1773523.8821717282</v>
      </c>
      <c r="F28" s="123">
        <f t="shared" si="9"/>
        <v>-474869.03930695902</v>
      </c>
      <c r="G28" s="123">
        <f t="shared" si="9"/>
        <v>-350275.10263677873</v>
      </c>
      <c r="H28" s="123">
        <f t="shared" si="9"/>
        <v>-109043.25664022431</v>
      </c>
      <c r="I28" s="123">
        <f t="shared" si="9"/>
        <v>-11538.589853365324</v>
      </c>
      <c r="J28" s="123">
        <f t="shared" si="9"/>
        <v>150526.41014663468</v>
      </c>
      <c r="K28" s="123">
        <f t="shared" si="9"/>
        <v>275993.91014663468</v>
      </c>
      <c r="L28" s="123">
        <f t="shared" si="9"/>
        <v>357810.16014663468</v>
      </c>
      <c r="M28" s="123">
        <f t="shared" si="9"/>
        <v>441912.34764663468</v>
      </c>
      <c r="N28" s="123">
        <f t="shared" si="9"/>
        <v>455562.66014663468</v>
      </c>
      <c r="O28" s="123">
        <f t="shared" si="9"/>
        <v>456389.9518133013</v>
      </c>
      <c r="P28" s="123">
        <f t="shared" si="9"/>
        <v>460526.41014663468</v>
      </c>
      <c r="Q28" s="123">
        <f t="shared" si="9"/>
        <v>457217.24347996805</v>
      </c>
      <c r="R28" s="123">
        <f t="shared" si="9"/>
        <v>451219.37889663468</v>
      </c>
      <c r="S28" s="123">
        <f t="shared" si="9"/>
        <v>448846.99838192877</v>
      </c>
      <c r="T28" s="123">
        <f t="shared" si="9"/>
        <v>446738.2157021903</v>
      </c>
      <c r="U28" s="123">
        <f t="shared" si="9"/>
        <v>439626.41014663468</v>
      </c>
      <c r="V28" s="123">
        <f t="shared" si="9"/>
        <v>440671.41014663468</v>
      </c>
      <c r="W28" s="123">
        <f t="shared" si="9"/>
        <v>440671.41014663468</v>
      </c>
    </row>
    <row r="29" spans="2:25" x14ac:dyDescent="0.2">
      <c r="C29" s="121"/>
      <c r="D29" s="123">
        <f>+D28</f>
        <v>0</v>
      </c>
      <c r="E29" s="123">
        <f t="shared" ref="E29:W29" si="10">+E28+D29</f>
        <v>-1773523.8821717282</v>
      </c>
      <c r="F29" s="123">
        <f t="shared" si="10"/>
        <v>-2248392.9214786873</v>
      </c>
      <c r="G29" s="123">
        <f t="shared" si="10"/>
        <v>-2598668.024115466</v>
      </c>
      <c r="H29" s="123">
        <f t="shared" si="10"/>
        <v>-2707711.2807556903</v>
      </c>
      <c r="I29" s="123">
        <f t="shared" si="10"/>
        <v>-2719249.8706090557</v>
      </c>
      <c r="J29" s="123">
        <f t="shared" si="10"/>
        <v>-2568723.4604624212</v>
      </c>
      <c r="K29" s="123">
        <f t="shared" si="10"/>
        <v>-2292729.5503157866</v>
      </c>
      <c r="L29" s="123">
        <f t="shared" si="10"/>
        <v>-1934919.3901691521</v>
      </c>
      <c r="M29" s="123">
        <f t="shared" si="10"/>
        <v>-1493007.0425225175</v>
      </c>
      <c r="N29" s="123">
        <f t="shared" si="10"/>
        <v>-1037444.3823758828</v>
      </c>
      <c r="O29" s="123">
        <f t="shared" si="10"/>
        <v>-581054.43056258152</v>
      </c>
      <c r="P29" s="123">
        <f t="shared" si="10"/>
        <v>-120528.02041594684</v>
      </c>
      <c r="Q29" s="123">
        <f t="shared" si="10"/>
        <v>336689.22306402121</v>
      </c>
      <c r="R29" s="123">
        <f t="shared" si="10"/>
        <v>787908.60196065588</v>
      </c>
      <c r="S29" s="123">
        <f t="shared" si="10"/>
        <v>1236755.6003425848</v>
      </c>
      <c r="T29" s="123">
        <f t="shared" si="10"/>
        <v>1683493.8160447751</v>
      </c>
      <c r="U29" s="123">
        <f t="shared" si="10"/>
        <v>2123120.2261914099</v>
      </c>
      <c r="V29" s="123">
        <f t="shared" si="10"/>
        <v>2563791.6363380444</v>
      </c>
      <c r="W29" s="123">
        <f t="shared" si="10"/>
        <v>3004463.046484679</v>
      </c>
    </row>
    <row r="30" spans="2:25" x14ac:dyDescent="0.2">
      <c r="C30" s="121"/>
    </row>
    <row r="31" spans="2:25" x14ac:dyDescent="0.2">
      <c r="C31" s="76"/>
    </row>
    <row r="32" spans="2:25" x14ac:dyDescent="0.2">
      <c r="B32" s="129" t="s">
        <v>376</v>
      </c>
      <c r="C32" s="121">
        <f>SUM(D32:W32)</f>
        <v>12</v>
      </c>
      <c r="D32" s="129">
        <f t="shared" ref="D32:W32" si="11">IF(D29&lt;0,1,0)</f>
        <v>0</v>
      </c>
      <c r="E32" s="129">
        <f t="shared" si="11"/>
        <v>1</v>
      </c>
      <c r="F32" s="129">
        <f t="shared" si="11"/>
        <v>1</v>
      </c>
      <c r="G32" s="129">
        <f t="shared" si="11"/>
        <v>1</v>
      </c>
      <c r="H32" s="129">
        <f t="shared" si="11"/>
        <v>1</v>
      </c>
      <c r="I32" s="129">
        <f t="shared" si="11"/>
        <v>1</v>
      </c>
      <c r="J32" s="129">
        <f t="shared" si="11"/>
        <v>1</v>
      </c>
      <c r="K32" s="129">
        <f t="shared" si="11"/>
        <v>1</v>
      </c>
      <c r="L32" s="129">
        <f t="shared" si="11"/>
        <v>1</v>
      </c>
      <c r="M32" s="129">
        <f t="shared" si="11"/>
        <v>1</v>
      </c>
      <c r="N32" s="129">
        <f t="shared" si="11"/>
        <v>1</v>
      </c>
      <c r="O32" s="129">
        <f t="shared" si="11"/>
        <v>1</v>
      </c>
      <c r="P32" s="129">
        <f t="shared" si="11"/>
        <v>1</v>
      </c>
      <c r="Q32" s="129">
        <f t="shared" si="11"/>
        <v>0</v>
      </c>
      <c r="R32" s="129">
        <f t="shared" si="11"/>
        <v>0</v>
      </c>
      <c r="S32" s="129">
        <f t="shared" si="11"/>
        <v>0</v>
      </c>
      <c r="T32" s="129">
        <f t="shared" si="11"/>
        <v>0</v>
      </c>
      <c r="U32" s="129">
        <f t="shared" si="11"/>
        <v>0</v>
      </c>
      <c r="V32" s="129">
        <f t="shared" si="11"/>
        <v>0</v>
      </c>
      <c r="W32" s="129">
        <f t="shared" si="11"/>
        <v>0</v>
      </c>
    </row>
    <row r="33" spans="2:23" x14ac:dyDescent="0.2">
      <c r="B33" s="129" t="s">
        <v>380</v>
      </c>
      <c r="C33" s="34">
        <f>SUM(D33:W33)</f>
        <v>6</v>
      </c>
      <c r="D33" s="123">
        <f t="shared" ref="D33:W33" si="12">+IF(D29=MIN($D29:$W29),1,IF(E33=1,1,0))</f>
        <v>1</v>
      </c>
      <c r="E33" s="123">
        <f t="shared" si="12"/>
        <v>1</v>
      </c>
      <c r="F33" s="123">
        <f t="shared" si="12"/>
        <v>1</v>
      </c>
      <c r="G33" s="123">
        <f t="shared" si="12"/>
        <v>1</v>
      </c>
      <c r="H33" s="123">
        <f t="shared" si="12"/>
        <v>1</v>
      </c>
      <c r="I33" s="123">
        <f t="shared" si="12"/>
        <v>1</v>
      </c>
      <c r="J33" s="123">
        <f t="shared" si="12"/>
        <v>0</v>
      </c>
      <c r="K33" s="123">
        <f t="shared" si="12"/>
        <v>0</v>
      </c>
      <c r="L33" s="123">
        <f t="shared" si="12"/>
        <v>0</v>
      </c>
      <c r="M33" s="123">
        <f t="shared" si="12"/>
        <v>0</v>
      </c>
      <c r="N33" s="123">
        <f t="shared" si="12"/>
        <v>0</v>
      </c>
      <c r="O33" s="123">
        <f t="shared" si="12"/>
        <v>0</v>
      </c>
      <c r="P33" s="123">
        <f t="shared" si="12"/>
        <v>0</v>
      </c>
      <c r="Q33" s="123">
        <f t="shared" si="12"/>
        <v>0</v>
      </c>
      <c r="R33" s="123">
        <f t="shared" si="12"/>
        <v>0</v>
      </c>
      <c r="S33" s="123">
        <f t="shared" si="12"/>
        <v>0</v>
      </c>
      <c r="T33" s="123">
        <f t="shared" si="12"/>
        <v>0</v>
      </c>
      <c r="U33" s="123">
        <f t="shared" si="12"/>
        <v>0</v>
      </c>
      <c r="V33" s="123">
        <f t="shared" si="12"/>
        <v>0</v>
      </c>
      <c r="W33" s="123">
        <f t="shared" si="12"/>
        <v>0</v>
      </c>
    </row>
    <row r="34" spans="2:23" x14ac:dyDescent="0.2">
      <c r="C34" s="121"/>
    </row>
    <row r="36" spans="2:23" x14ac:dyDescent="0.2">
      <c r="B36" s="37" t="s">
        <v>136</v>
      </c>
      <c r="C36" s="72" t="s">
        <v>137</v>
      </c>
      <c r="D36" s="30"/>
    </row>
    <row r="37" spans="2:23" x14ac:dyDescent="0.2">
      <c r="B37" s="105" t="s">
        <v>405</v>
      </c>
      <c r="C37" s="71">
        <v>0</v>
      </c>
      <c r="D37" s="123">
        <f t="shared" ref="D37:W37" si="13">+($C37/365)*D14</f>
        <v>0</v>
      </c>
      <c r="E37" s="123">
        <f t="shared" si="13"/>
        <v>0</v>
      </c>
      <c r="F37" s="123">
        <f t="shared" si="13"/>
        <v>0</v>
      </c>
      <c r="G37" s="123">
        <f t="shared" si="13"/>
        <v>0</v>
      </c>
      <c r="H37" s="123">
        <f t="shared" si="13"/>
        <v>0</v>
      </c>
      <c r="I37" s="123">
        <f t="shared" si="13"/>
        <v>0</v>
      </c>
      <c r="J37" s="123">
        <f t="shared" si="13"/>
        <v>0</v>
      </c>
      <c r="K37" s="123">
        <f t="shared" si="13"/>
        <v>0</v>
      </c>
      <c r="L37" s="123">
        <f t="shared" si="13"/>
        <v>0</v>
      </c>
      <c r="M37" s="123">
        <f t="shared" si="13"/>
        <v>0</v>
      </c>
      <c r="N37" s="123">
        <f t="shared" si="13"/>
        <v>0</v>
      </c>
      <c r="O37" s="123">
        <f t="shared" si="13"/>
        <v>0</v>
      </c>
      <c r="P37" s="123">
        <f t="shared" si="13"/>
        <v>0</v>
      </c>
      <c r="Q37" s="123">
        <f t="shared" si="13"/>
        <v>0</v>
      </c>
      <c r="R37" s="123">
        <f t="shared" si="13"/>
        <v>0</v>
      </c>
      <c r="S37" s="123">
        <f t="shared" si="13"/>
        <v>0</v>
      </c>
      <c r="T37" s="123">
        <f t="shared" si="13"/>
        <v>0</v>
      </c>
      <c r="U37" s="123">
        <f t="shared" si="13"/>
        <v>0</v>
      </c>
      <c r="V37" s="123">
        <f t="shared" si="13"/>
        <v>0</v>
      </c>
      <c r="W37" s="123">
        <f t="shared" si="13"/>
        <v>0</v>
      </c>
    </row>
    <row r="38" spans="2:23" x14ac:dyDescent="0.2">
      <c r="B38" s="105" t="s">
        <v>204</v>
      </c>
      <c r="C38" s="71">
        <f>+'Inputs General'!E10</f>
        <v>0</v>
      </c>
      <c r="D38" s="123">
        <f>+($C38/365)*('Field Ops (500Ha)'!F206)*D5</f>
        <v>0</v>
      </c>
      <c r="E38" s="123">
        <f>+($C38/365)*('Field Ops (500Ha)'!G206)*E5</f>
        <v>0</v>
      </c>
      <c r="F38" s="123">
        <f>+($C38/365)*('Field Ops (500Ha)'!H206)*F5</f>
        <v>0</v>
      </c>
      <c r="G38" s="123">
        <f>+($C38/365)*('Field Ops (500Ha)'!I206)*G5</f>
        <v>0</v>
      </c>
      <c r="H38" s="123">
        <f>+($C38/365)*('Field Ops (500Ha)'!J206)*H5</f>
        <v>0</v>
      </c>
      <c r="I38" s="123">
        <f>+($C38/365)*('Field Ops (500Ha)'!K206)*I5</f>
        <v>0</v>
      </c>
      <c r="J38" s="123">
        <f>+($C38/365)*('Field Ops (500Ha)'!L206)*J5</f>
        <v>0</v>
      </c>
      <c r="K38" s="123">
        <f>+($C38/365)*('Field Ops (500Ha)'!M206)*K5</f>
        <v>0</v>
      </c>
      <c r="L38" s="123">
        <f>+($C38/365)*('Field Ops (500Ha)'!N206)*L5</f>
        <v>0</v>
      </c>
      <c r="M38" s="123">
        <f>+($C38/365)*('Field Ops (500Ha)'!O206)*M5</f>
        <v>0</v>
      </c>
      <c r="N38" s="123">
        <f>+($C38/365)*('Field Ops (500Ha)'!P206)*N5</f>
        <v>0</v>
      </c>
      <c r="O38" s="123">
        <f>+($C38/365)*('Field Ops (500Ha)'!Q206)*O5</f>
        <v>0</v>
      </c>
      <c r="P38" s="123">
        <f>+($C38/365)*('Field Ops (500Ha)'!R206)*P5</f>
        <v>0</v>
      </c>
      <c r="Q38" s="123">
        <f>+($C38/365)*('Field Ops (500Ha)'!S206)*Q5</f>
        <v>0</v>
      </c>
      <c r="R38" s="123">
        <f>+($C38/365)*('Field Ops (500Ha)'!T206)*R5</f>
        <v>0</v>
      </c>
      <c r="S38" s="123">
        <f>+($C38/365)*('Field Ops (500Ha)'!U206)*S5</f>
        <v>0</v>
      </c>
      <c r="T38" s="123">
        <f>+($C38/365)*('Field Ops (500Ha)'!V206)*T5</f>
        <v>0</v>
      </c>
      <c r="U38" s="123">
        <f>+($C38/365)*('Field Ops (500Ha)'!W206)*U5</f>
        <v>0</v>
      </c>
      <c r="V38" s="123">
        <f>+($C38/365)*('Field Ops (500Ha)'!X206)*V5</f>
        <v>0</v>
      </c>
      <c r="W38" s="123">
        <f>+($C38/365)*('Field Ops (500Ha)'!Y206)*W5</f>
        <v>0</v>
      </c>
    </row>
    <row r="39" spans="2:23" x14ac:dyDescent="0.2">
      <c r="B39" s="105" t="s">
        <v>138</v>
      </c>
      <c r="C39" s="71">
        <f>+'Inputs General'!E11</f>
        <v>0</v>
      </c>
      <c r="D39" s="123">
        <f>+($C39/365)*(SUM(D17:D19)+SUM(D23:D24))</f>
        <v>0</v>
      </c>
      <c r="E39" s="123">
        <f>+($C39/365)*(SUM(E17:E19)+SUM(E23:E24))</f>
        <v>0</v>
      </c>
      <c r="F39" s="123">
        <v>0</v>
      </c>
      <c r="G39" s="123">
        <f t="shared" ref="G39:W39" si="14">+($C39/365)*(SUM(G17:G19)+SUM(G23:G24))</f>
        <v>0</v>
      </c>
      <c r="H39" s="123">
        <f t="shared" si="14"/>
        <v>0</v>
      </c>
      <c r="I39" s="123">
        <f t="shared" si="14"/>
        <v>0</v>
      </c>
      <c r="J39" s="123">
        <f t="shared" si="14"/>
        <v>0</v>
      </c>
      <c r="K39" s="123">
        <f t="shared" si="14"/>
        <v>0</v>
      </c>
      <c r="L39" s="123">
        <f t="shared" si="14"/>
        <v>0</v>
      </c>
      <c r="M39" s="123">
        <f t="shared" si="14"/>
        <v>0</v>
      </c>
      <c r="N39" s="123">
        <f t="shared" si="14"/>
        <v>0</v>
      </c>
      <c r="O39" s="123">
        <f t="shared" si="14"/>
        <v>0</v>
      </c>
      <c r="P39" s="123">
        <f t="shared" si="14"/>
        <v>0</v>
      </c>
      <c r="Q39" s="123">
        <f t="shared" si="14"/>
        <v>0</v>
      </c>
      <c r="R39" s="123">
        <f t="shared" si="14"/>
        <v>0</v>
      </c>
      <c r="S39" s="123">
        <f t="shared" si="14"/>
        <v>0</v>
      </c>
      <c r="T39" s="123">
        <f t="shared" si="14"/>
        <v>0</v>
      </c>
      <c r="U39" s="123">
        <f t="shared" si="14"/>
        <v>0</v>
      </c>
      <c r="V39" s="123">
        <f t="shared" si="14"/>
        <v>0</v>
      </c>
      <c r="W39" s="123">
        <f t="shared" si="14"/>
        <v>0</v>
      </c>
    </row>
    <row r="40" spans="2:23" x14ac:dyDescent="0.2">
      <c r="B40" s="105" t="s">
        <v>139</v>
      </c>
      <c r="C40" s="71">
        <f>+'Inputs General'!E12</f>
        <v>0</v>
      </c>
      <c r="D40" s="123">
        <f t="shared" ref="D40:W40" si="15">+($C40/365)*D14</f>
        <v>0</v>
      </c>
      <c r="E40" s="123">
        <f t="shared" si="15"/>
        <v>0</v>
      </c>
      <c r="F40" s="123">
        <f t="shared" si="15"/>
        <v>0</v>
      </c>
      <c r="G40" s="123">
        <f t="shared" si="15"/>
        <v>0</v>
      </c>
      <c r="H40" s="123">
        <f t="shared" si="15"/>
        <v>0</v>
      </c>
      <c r="I40" s="123">
        <f t="shared" si="15"/>
        <v>0</v>
      </c>
      <c r="J40" s="123">
        <f t="shared" si="15"/>
        <v>0</v>
      </c>
      <c r="K40" s="123">
        <f t="shared" si="15"/>
        <v>0</v>
      </c>
      <c r="L40" s="123">
        <f t="shared" si="15"/>
        <v>0</v>
      </c>
      <c r="M40" s="123">
        <f t="shared" si="15"/>
        <v>0</v>
      </c>
      <c r="N40" s="123">
        <f t="shared" si="15"/>
        <v>0</v>
      </c>
      <c r="O40" s="123">
        <f t="shared" si="15"/>
        <v>0</v>
      </c>
      <c r="P40" s="123">
        <f t="shared" si="15"/>
        <v>0</v>
      </c>
      <c r="Q40" s="123">
        <f t="shared" si="15"/>
        <v>0</v>
      </c>
      <c r="R40" s="123">
        <f t="shared" si="15"/>
        <v>0</v>
      </c>
      <c r="S40" s="123">
        <f t="shared" si="15"/>
        <v>0</v>
      </c>
      <c r="T40" s="123">
        <f t="shared" si="15"/>
        <v>0</v>
      </c>
      <c r="U40" s="123">
        <f t="shared" si="15"/>
        <v>0</v>
      </c>
      <c r="V40" s="123">
        <f t="shared" si="15"/>
        <v>0</v>
      </c>
      <c r="W40" s="123">
        <f t="shared" si="15"/>
        <v>0</v>
      </c>
    </row>
    <row r="41" spans="2:23" x14ac:dyDescent="0.2">
      <c r="B41" s="81"/>
      <c r="D41" s="123"/>
    </row>
    <row r="42" spans="2:23" x14ac:dyDescent="0.2">
      <c r="C42" s="9"/>
      <c r="E42" s="130"/>
    </row>
    <row r="44" spans="2:23" x14ac:dyDescent="0.2">
      <c r="J44" s="123"/>
    </row>
    <row r="45" spans="2:23" x14ac:dyDescent="0.2">
      <c r="J45" s="12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Y244"/>
  <sheetViews>
    <sheetView showGridLines="0" topLeftCell="B1" zoomScale="85" zoomScaleNormal="85" workbookViewId="0">
      <pane xSplit="1" ySplit="4" topLeftCell="K5" activePane="bottomRight" state="frozen"/>
      <selection activeCell="B1" sqref="B1"/>
      <selection pane="topRight" activeCell="C1" sqref="C1"/>
      <selection pane="bottomLeft" activeCell="B2" sqref="B2"/>
      <selection pane="bottomRight" activeCell="Y199" sqref="Y199"/>
    </sheetView>
  </sheetViews>
  <sheetFormatPr defaultRowHeight="12.75" x14ac:dyDescent="0.2"/>
  <cols>
    <col min="1" max="1" width="9.140625" style="129"/>
    <col min="2" max="2" width="42" style="129" customWidth="1"/>
    <col min="3" max="4" width="9.5703125" style="129" customWidth="1"/>
    <col min="5" max="5" width="14" style="129" customWidth="1"/>
    <col min="6" max="25" width="13.7109375" style="129" customWidth="1"/>
    <col min="26" max="16384" width="9.140625" style="129"/>
  </cols>
  <sheetData>
    <row r="1" spans="2:25" ht="13.5" thickBot="1" x14ac:dyDescent="0.25"/>
    <row r="2" spans="2:25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6"/>
    </row>
    <row r="3" spans="2:25" ht="13.5" thickTop="1" x14ac:dyDescent="0.2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2:25" x14ac:dyDescent="0.2">
      <c r="B4" s="1" t="s">
        <v>362</v>
      </c>
      <c r="F4" s="59">
        <v>2016</v>
      </c>
      <c r="G4" s="59">
        <f t="shared" ref="G4:Y4" si="0">+F4+1</f>
        <v>2017</v>
      </c>
      <c r="H4" s="59">
        <f t="shared" si="0"/>
        <v>2018</v>
      </c>
      <c r="I4" s="59">
        <f t="shared" si="0"/>
        <v>2019</v>
      </c>
      <c r="J4" s="59">
        <f t="shared" si="0"/>
        <v>2020</v>
      </c>
      <c r="K4" s="59">
        <f t="shared" si="0"/>
        <v>2021</v>
      </c>
      <c r="L4" s="59">
        <f t="shared" si="0"/>
        <v>2022</v>
      </c>
      <c r="M4" s="59">
        <f t="shared" si="0"/>
        <v>2023</v>
      </c>
      <c r="N4" s="59">
        <f t="shared" si="0"/>
        <v>2024</v>
      </c>
      <c r="O4" s="59">
        <f t="shared" si="0"/>
        <v>2025</v>
      </c>
      <c r="P4" s="59">
        <f t="shared" si="0"/>
        <v>2026</v>
      </c>
      <c r="Q4" s="59">
        <f t="shared" si="0"/>
        <v>2027</v>
      </c>
      <c r="R4" s="59">
        <f t="shared" si="0"/>
        <v>2028</v>
      </c>
      <c r="S4" s="59">
        <f t="shared" si="0"/>
        <v>2029</v>
      </c>
      <c r="T4" s="59">
        <f t="shared" si="0"/>
        <v>2030</v>
      </c>
      <c r="U4" s="59">
        <f t="shared" si="0"/>
        <v>2031</v>
      </c>
      <c r="V4" s="59">
        <f t="shared" si="0"/>
        <v>2032</v>
      </c>
      <c r="W4" s="59">
        <f t="shared" si="0"/>
        <v>2033</v>
      </c>
      <c r="X4" s="59">
        <f t="shared" si="0"/>
        <v>2034</v>
      </c>
      <c r="Y4" s="59">
        <f t="shared" si="0"/>
        <v>2035</v>
      </c>
    </row>
    <row r="6" spans="2:25" x14ac:dyDescent="0.2">
      <c r="B6" s="1"/>
    </row>
    <row r="8" spans="2:25" x14ac:dyDescent="0.2">
      <c r="B8" s="129" t="s">
        <v>93</v>
      </c>
    </row>
    <row r="10" spans="2:25" x14ac:dyDescent="0.2">
      <c r="C10" s="129">
        <v>2016</v>
      </c>
      <c r="F10" s="122">
        <f>+'Inputs Field'!D10</f>
        <v>0</v>
      </c>
      <c r="G10" s="122">
        <v>0</v>
      </c>
      <c r="H10" s="122">
        <f>+'Inputs Field'!F10+G10</f>
        <v>0</v>
      </c>
      <c r="I10" s="122">
        <f>+'Inputs Field'!G10+H10</f>
        <v>0</v>
      </c>
      <c r="J10" s="122">
        <f>+'Inputs Field'!H10+I10</f>
        <v>0</v>
      </c>
      <c r="K10" s="122">
        <f>+'Inputs Field'!I10+J10</f>
        <v>0</v>
      </c>
      <c r="L10" s="122">
        <f>+'Inputs Field'!J10+K10</f>
        <v>0</v>
      </c>
      <c r="M10" s="122">
        <f>+'Inputs Field'!K10+L10</f>
        <v>0</v>
      </c>
      <c r="N10" s="122">
        <f>+'Inputs Field'!L10+M10</f>
        <v>0</v>
      </c>
      <c r="O10" s="122">
        <f>+'Inputs Field'!M10+N10</f>
        <v>0</v>
      </c>
      <c r="P10" s="122">
        <f>+'Inputs Field'!N10+O10</f>
        <v>0</v>
      </c>
      <c r="Q10" s="122">
        <f>+'Inputs Field'!O10+P10</f>
        <v>0</v>
      </c>
      <c r="R10" s="122">
        <f>+'Inputs Field'!Y10+Q10</f>
        <v>0</v>
      </c>
      <c r="S10" s="122">
        <f>+'Inputs Field'!Z10+R10</f>
        <v>0</v>
      </c>
      <c r="T10" s="122">
        <f>+'Inputs Field'!AA10+S10</f>
        <v>0</v>
      </c>
      <c r="U10" s="122">
        <f>+'Inputs Field'!AB10+T10</f>
        <v>0</v>
      </c>
      <c r="V10" s="122">
        <f>+'Inputs Field'!AC10+U10</f>
        <v>0</v>
      </c>
      <c r="W10" s="122">
        <f>+'Inputs Field'!AD10+V10</f>
        <v>0</v>
      </c>
      <c r="X10" s="122">
        <f>+'Inputs Field'!AE10+W10</f>
        <v>0</v>
      </c>
      <c r="Y10" s="122">
        <f>+'Inputs Field'!AF10+X10</f>
        <v>0</v>
      </c>
    </row>
    <row r="11" spans="2:25" x14ac:dyDescent="0.2">
      <c r="B11" s="129" t="s">
        <v>485</v>
      </c>
      <c r="C11" s="129">
        <f>+C10+1</f>
        <v>2017</v>
      </c>
      <c r="F11" s="122">
        <f>+'Inputs Field'!D11</f>
        <v>0</v>
      </c>
      <c r="G11" s="122">
        <v>0</v>
      </c>
      <c r="H11" s="122">
        <f>+'Inputs Field'!F11+G11</f>
        <v>0</v>
      </c>
      <c r="I11" s="122">
        <f>+'Inputs Field'!G11+H11</f>
        <v>0</v>
      </c>
      <c r="J11" s="122">
        <f>+'Inputs Field'!H11+I11</f>
        <v>0</v>
      </c>
      <c r="K11" s="122">
        <f>+'Inputs Field'!I11+J11</f>
        <v>0</v>
      </c>
      <c r="L11" s="122">
        <f>+'Inputs Field'!J11+K11</f>
        <v>0</v>
      </c>
      <c r="M11" s="122">
        <f>+'Inputs Field'!K11+L11</f>
        <v>0</v>
      </c>
      <c r="N11" s="122">
        <f>+'Inputs Field'!L11+M11</f>
        <v>0</v>
      </c>
      <c r="O11" s="122">
        <f>+'Inputs Field'!M11+N11</f>
        <v>0</v>
      </c>
      <c r="P11" s="122">
        <f>+'Inputs Field'!N11+O11</f>
        <v>0</v>
      </c>
      <c r="Q11" s="122">
        <f>+'Inputs Field'!O11+P11</f>
        <v>0</v>
      </c>
      <c r="R11" s="122">
        <f>+'Inputs Field'!Y11+Q11</f>
        <v>0</v>
      </c>
      <c r="S11" s="122">
        <f>+'Inputs Field'!Z11+R11</f>
        <v>0</v>
      </c>
      <c r="T11" s="122">
        <f>+'Inputs Field'!AA11+S11</f>
        <v>0</v>
      </c>
      <c r="U11" s="122">
        <f>+'Inputs Field'!AB11+T11</f>
        <v>0</v>
      </c>
      <c r="V11" s="122">
        <f>+'Inputs Field'!AC11+U11</f>
        <v>0</v>
      </c>
      <c r="W11" s="122">
        <f>+'Inputs Field'!AD11+V11</f>
        <v>0</v>
      </c>
      <c r="X11" s="122">
        <f>+'Inputs Field'!AE11+W11</f>
        <v>0</v>
      </c>
      <c r="Y11" s="122">
        <f>+'Inputs Field'!AF11+X11</f>
        <v>0</v>
      </c>
    </row>
    <row r="12" spans="2:25" x14ac:dyDescent="0.2">
      <c r="B12" s="129" t="s">
        <v>486</v>
      </c>
      <c r="C12" s="129">
        <f>+C11</f>
        <v>2017</v>
      </c>
      <c r="F12" s="122">
        <f>+'Inputs Field'!D12</f>
        <v>0</v>
      </c>
      <c r="G12" s="122">
        <v>0</v>
      </c>
      <c r="H12" s="122">
        <f>+'Inputs Field'!F12+G12</f>
        <v>0</v>
      </c>
      <c r="I12" s="122">
        <f>+'Inputs Field'!G12+H12</f>
        <v>0</v>
      </c>
      <c r="J12" s="122">
        <f>+'Inputs Field'!H12+I12</f>
        <v>0</v>
      </c>
      <c r="K12" s="122">
        <f>+'Inputs Field'!I12+J12</f>
        <v>0</v>
      </c>
      <c r="L12" s="122">
        <f>+'Inputs Field'!J12+K12</f>
        <v>0</v>
      </c>
      <c r="M12" s="122">
        <f>+'Inputs Field'!K12+L12</f>
        <v>0</v>
      </c>
      <c r="N12" s="122">
        <f>+'Inputs Field'!L12+M12</f>
        <v>0</v>
      </c>
      <c r="O12" s="122">
        <f>+'Inputs Field'!M12+N12</f>
        <v>0</v>
      </c>
      <c r="P12" s="122">
        <f>+'Inputs Field'!N12+O12</f>
        <v>0</v>
      </c>
      <c r="Q12" s="122">
        <f>+'Inputs Field'!O12+P12</f>
        <v>0</v>
      </c>
      <c r="R12" s="122">
        <f>+'Inputs Field'!Y12+Q12</f>
        <v>0</v>
      </c>
      <c r="S12" s="122">
        <f>+'Inputs Field'!Z12+R12</f>
        <v>0</v>
      </c>
      <c r="T12" s="122">
        <f>+'Inputs Field'!AA12+S12</f>
        <v>0</v>
      </c>
      <c r="U12" s="122">
        <f>+'Inputs Field'!AB12+T12</f>
        <v>0</v>
      </c>
      <c r="V12" s="122">
        <f>+'Inputs Field'!AC12+U12</f>
        <v>0</v>
      </c>
      <c r="W12" s="122">
        <f>+'Inputs Field'!AD12+V12</f>
        <v>0</v>
      </c>
      <c r="X12" s="122">
        <f>+'Inputs Field'!AE12+W12</f>
        <v>0</v>
      </c>
      <c r="Y12" s="122">
        <f>+'Inputs Field'!AF12+X12</f>
        <v>0</v>
      </c>
    </row>
    <row r="13" spans="2:25" x14ac:dyDescent="0.2">
      <c r="B13" s="129" t="s">
        <v>498</v>
      </c>
      <c r="C13" s="129">
        <f t="shared" ref="C13:C15" si="1">+C12</f>
        <v>2017</v>
      </c>
      <c r="F13" s="122">
        <f>+'Inputs Field'!D13</f>
        <v>0</v>
      </c>
      <c r="G13" s="122">
        <f>+'Inputs Field'!D20</f>
        <v>500</v>
      </c>
      <c r="H13" s="122">
        <f>+'Inputs Field'!F13+G13</f>
        <v>500</v>
      </c>
      <c r="I13" s="122">
        <f>+'Inputs Field'!G13+H13</f>
        <v>500</v>
      </c>
      <c r="J13" s="122">
        <f>+'Inputs Field'!H13+I13</f>
        <v>500</v>
      </c>
      <c r="K13" s="122">
        <f>+'Inputs Field'!I13+J13</f>
        <v>500</v>
      </c>
      <c r="L13" s="122">
        <f>+'Inputs Field'!J13+K13</f>
        <v>500</v>
      </c>
      <c r="M13" s="122">
        <f>+'Inputs Field'!K13+L13</f>
        <v>500</v>
      </c>
      <c r="N13" s="122">
        <f>+'Inputs Field'!L13+M13</f>
        <v>500</v>
      </c>
      <c r="O13" s="122">
        <f>+'Inputs Field'!M13+N13</f>
        <v>500</v>
      </c>
      <c r="P13" s="122">
        <f>+'Inputs Field'!N13+O13</f>
        <v>500</v>
      </c>
      <c r="Q13" s="122">
        <f>+'Inputs Field'!O13+P13</f>
        <v>500</v>
      </c>
      <c r="R13" s="122">
        <f>+'Inputs Field'!Y13+Q13</f>
        <v>500</v>
      </c>
      <c r="S13" s="122">
        <f>+'Inputs Field'!Z13+R13</f>
        <v>500</v>
      </c>
      <c r="T13" s="122">
        <f>+'Inputs Field'!AA13+S13</f>
        <v>500</v>
      </c>
      <c r="U13" s="122">
        <f>+'Inputs Field'!AB13+T13</f>
        <v>500</v>
      </c>
      <c r="V13" s="122">
        <f>+'Inputs Field'!AC13+U13</f>
        <v>500</v>
      </c>
      <c r="W13" s="122">
        <f>+'Inputs Field'!AD13+V13</f>
        <v>500</v>
      </c>
      <c r="X13" s="122">
        <f>+'Inputs Field'!AE13+W13</f>
        <v>500</v>
      </c>
      <c r="Y13" s="122">
        <f>+'Inputs Field'!AF13+X13</f>
        <v>500</v>
      </c>
    </row>
    <row r="14" spans="2:25" x14ac:dyDescent="0.2">
      <c r="B14" s="129" t="s">
        <v>499</v>
      </c>
      <c r="C14" s="129">
        <f t="shared" si="1"/>
        <v>2017</v>
      </c>
      <c r="F14" s="122">
        <f>+'Inputs Field'!D14</f>
        <v>0</v>
      </c>
      <c r="G14" s="122">
        <v>0</v>
      </c>
      <c r="H14" s="122">
        <f>+'Inputs Field'!F14+G14</f>
        <v>0</v>
      </c>
      <c r="I14" s="122">
        <f>+'Inputs Field'!G14+H14</f>
        <v>0</v>
      </c>
      <c r="J14" s="122">
        <f>+'Inputs Field'!H14+I14</f>
        <v>0</v>
      </c>
      <c r="K14" s="122">
        <f>+'Inputs Field'!I14+J14</f>
        <v>0</v>
      </c>
      <c r="L14" s="122">
        <f>+'Inputs Field'!J14+K14</f>
        <v>0</v>
      </c>
      <c r="M14" s="122">
        <f>+'Inputs Field'!K14+L14</f>
        <v>0</v>
      </c>
      <c r="N14" s="122">
        <f>+'Inputs Field'!L14+M14</f>
        <v>0</v>
      </c>
      <c r="O14" s="122">
        <f>+'Inputs Field'!M14+N14</f>
        <v>0</v>
      </c>
      <c r="P14" s="122">
        <f>+'Inputs Field'!N14+O14</f>
        <v>0</v>
      </c>
      <c r="Q14" s="122">
        <f>+'Inputs Field'!O14+P14</f>
        <v>0</v>
      </c>
      <c r="R14" s="122">
        <f>+'Inputs Field'!Y14+Q14</f>
        <v>0</v>
      </c>
      <c r="S14" s="122">
        <f>+'Inputs Field'!Z14+R14</f>
        <v>0</v>
      </c>
      <c r="T14" s="122">
        <f>+'Inputs Field'!AA14+S14</f>
        <v>0</v>
      </c>
      <c r="U14" s="122">
        <f>+'Inputs Field'!AB14+T14</f>
        <v>0</v>
      </c>
      <c r="V14" s="122">
        <f>+'Inputs Field'!AC14+U14</f>
        <v>0</v>
      </c>
      <c r="W14" s="122">
        <f>+'Inputs Field'!AD14+V14</f>
        <v>0</v>
      </c>
      <c r="X14" s="122">
        <f>+'Inputs Field'!AE14+W14</f>
        <v>0</v>
      </c>
      <c r="Y14" s="122">
        <f>+'Inputs Field'!AF14+X14</f>
        <v>0</v>
      </c>
    </row>
    <row r="15" spans="2:25" x14ac:dyDescent="0.2">
      <c r="B15" s="129" t="s">
        <v>488</v>
      </c>
      <c r="C15" s="129">
        <f t="shared" si="1"/>
        <v>2017</v>
      </c>
      <c r="F15" s="129">
        <f>+'Inputs Field'!D15</f>
        <v>0</v>
      </c>
      <c r="G15" s="122">
        <v>0</v>
      </c>
      <c r="H15" s="122">
        <f>+'Inputs Field'!F15+G15</f>
        <v>0</v>
      </c>
      <c r="I15" s="122">
        <f>+'Inputs Field'!G15+H15</f>
        <v>0</v>
      </c>
      <c r="J15" s="122">
        <f>+'Inputs Field'!H15+I15</f>
        <v>0</v>
      </c>
      <c r="K15" s="122">
        <f>+'Inputs Field'!I15+J15</f>
        <v>0</v>
      </c>
      <c r="L15" s="122">
        <f>+'Inputs Field'!J15+K15</f>
        <v>0</v>
      </c>
      <c r="M15" s="122">
        <f>+'Inputs Field'!K15+L15</f>
        <v>0</v>
      </c>
      <c r="N15" s="122">
        <f>+'Inputs Field'!L15+M15</f>
        <v>0</v>
      </c>
      <c r="O15" s="122">
        <f>+'Inputs Field'!M15+N15</f>
        <v>0</v>
      </c>
      <c r="P15" s="122">
        <f>+'Inputs Field'!N15+O15</f>
        <v>0</v>
      </c>
      <c r="Q15" s="122">
        <f>+'Inputs Field'!O15+P15</f>
        <v>0</v>
      </c>
      <c r="R15" s="122">
        <f>+'Inputs Field'!Y15+Q15</f>
        <v>0</v>
      </c>
      <c r="S15" s="122">
        <f>+'Inputs Field'!Z15+R15</f>
        <v>0</v>
      </c>
      <c r="T15" s="122">
        <f>+'Inputs Field'!AA15+S15</f>
        <v>0</v>
      </c>
      <c r="U15" s="122">
        <f>+'Inputs Field'!AB15+T15</f>
        <v>0</v>
      </c>
      <c r="V15" s="122">
        <f>+'Inputs Field'!AC15+U15</f>
        <v>0</v>
      </c>
      <c r="W15" s="122">
        <f>+'Inputs Field'!AD15+V15</f>
        <v>0</v>
      </c>
      <c r="X15" s="122">
        <f>+'Inputs Field'!AE15+W15</f>
        <v>0</v>
      </c>
      <c r="Y15" s="122">
        <f>+'Inputs Field'!AF15+X15</f>
        <v>0</v>
      </c>
    </row>
    <row r="17" spans="2:25" x14ac:dyDescent="0.2">
      <c r="B17" s="129" t="s">
        <v>94</v>
      </c>
      <c r="F17" s="122">
        <f t="shared" ref="F17:Y17" si="2">SUM(F9:F15)</f>
        <v>0</v>
      </c>
      <c r="G17" s="122">
        <f t="shared" si="2"/>
        <v>500</v>
      </c>
      <c r="H17" s="122">
        <f t="shared" si="2"/>
        <v>500</v>
      </c>
      <c r="I17" s="122">
        <f t="shared" si="2"/>
        <v>500</v>
      </c>
      <c r="J17" s="122">
        <f t="shared" si="2"/>
        <v>500</v>
      </c>
      <c r="K17" s="122">
        <f t="shared" si="2"/>
        <v>500</v>
      </c>
      <c r="L17" s="122">
        <f t="shared" si="2"/>
        <v>500</v>
      </c>
      <c r="M17" s="122">
        <f t="shared" si="2"/>
        <v>500</v>
      </c>
      <c r="N17" s="122">
        <f t="shared" si="2"/>
        <v>500</v>
      </c>
      <c r="O17" s="122">
        <f t="shared" si="2"/>
        <v>500</v>
      </c>
      <c r="P17" s="122">
        <f t="shared" si="2"/>
        <v>500</v>
      </c>
      <c r="Q17" s="122">
        <f t="shared" si="2"/>
        <v>500</v>
      </c>
      <c r="R17" s="122">
        <f t="shared" si="2"/>
        <v>500</v>
      </c>
      <c r="S17" s="122">
        <f t="shared" si="2"/>
        <v>500</v>
      </c>
      <c r="T17" s="122">
        <f t="shared" si="2"/>
        <v>500</v>
      </c>
      <c r="U17" s="122">
        <f t="shared" si="2"/>
        <v>500</v>
      </c>
      <c r="V17" s="122">
        <f t="shared" si="2"/>
        <v>500</v>
      </c>
      <c r="W17" s="122">
        <f t="shared" si="2"/>
        <v>500</v>
      </c>
      <c r="X17" s="122">
        <f t="shared" si="2"/>
        <v>500</v>
      </c>
      <c r="Y17" s="122">
        <f t="shared" si="2"/>
        <v>500</v>
      </c>
    </row>
    <row r="18" spans="2:25" x14ac:dyDescent="0.2">
      <c r="B18" s="129" t="s">
        <v>95</v>
      </c>
      <c r="F18" s="122">
        <f>+F17</f>
        <v>0</v>
      </c>
      <c r="G18" s="122">
        <f>+G17-SUM($F18:F18)</f>
        <v>500</v>
      </c>
      <c r="H18" s="122">
        <f>+H17-SUM($F18:G18)</f>
        <v>0</v>
      </c>
      <c r="I18" s="122">
        <f>+I17-SUM($F18:H18)</f>
        <v>0</v>
      </c>
      <c r="J18" s="122">
        <f>+J17-SUM($F18:I18)</f>
        <v>0</v>
      </c>
      <c r="K18" s="122">
        <f>+K17-SUM($F18:J18)</f>
        <v>0</v>
      </c>
      <c r="L18" s="122">
        <f>+L17-SUM($F18:K18)</f>
        <v>0</v>
      </c>
      <c r="M18" s="122">
        <f>+M17-SUM($F18:L18)</f>
        <v>0</v>
      </c>
      <c r="N18" s="122">
        <f>+N17-SUM($F18:M18)</f>
        <v>0</v>
      </c>
      <c r="O18" s="122">
        <f>+O17-SUM($F18:N18)</f>
        <v>0</v>
      </c>
      <c r="P18" s="122">
        <f>+P17-SUM($F18:O18)</f>
        <v>0</v>
      </c>
      <c r="Q18" s="122">
        <f>+Q17-SUM($F18:P18)</f>
        <v>0</v>
      </c>
      <c r="R18" s="122">
        <f>+R17-SUM($F18:Q18)</f>
        <v>0</v>
      </c>
      <c r="S18" s="122">
        <f>+S17-SUM($F18:R18)</f>
        <v>0</v>
      </c>
      <c r="T18" s="122">
        <f>+T17-SUM($F18:S18)</f>
        <v>0</v>
      </c>
      <c r="U18" s="122">
        <f>+U17-SUM($F18:T18)</f>
        <v>0</v>
      </c>
      <c r="V18" s="122">
        <f>+V17-SUM($F18:U18)</f>
        <v>0</v>
      </c>
      <c r="W18" s="122">
        <f>+W17-SUM($F18:V18)</f>
        <v>0</v>
      </c>
      <c r="X18" s="122">
        <f>+X17-SUM($F18:W18)</f>
        <v>0</v>
      </c>
      <c r="Y18" s="122">
        <f>+Y17-SUM($F18:X18)</f>
        <v>0</v>
      </c>
    </row>
    <row r="20" spans="2:25" x14ac:dyDescent="0.2">
      <c r="B20" s="1" t="s">
        <v>99</v>
      </c>
    </row>
    <row r="21" spans="2:25" x14ac:dyDescent="0.2">
      <c r="B21" s="129" t="s">
        <v>96</v>
      </c>
      <c r="F21" s="91">
        <v>0</v>
      </c>
      <c r="G21" s="91">
        <f>+'Inputs Field'!C27</f>
        <v>0</v>
      </c>
      <c r="H21" s="91">
        <f>+'Inputs Field'!D27</f>
        <v>0</v>
      </c>
      <c r="I21" s="91">
        <f>+'Inputs Field'!E27</f>
        <v>0</v>
      </c>
      <c r="J21" s="91">
        <f>+'Inputs Field'!F27</f>
        <v>4</v>
      </c>
      <c r="K21" s="91">
        <f>+'Inputs Field'!G27</f>
        <v>8</v>
      </c>
      <c r="L21" s="91">
        <f>+'Inputs Field'!H27</f>
        <v>12</v>
      </c>
      <c r="M21" s="91">
        <f>+'Inputs Field'!I27</f>
        <v>15</v>
      </c>
      <c r="N21" s="91">
        <f>+'Inputs Field'!J27</f>
        <v>17</v>
      </c>
      <c r="O21" s="91">
        <f>+'Inputs Field'!K27</f>
        <v>19</v>
      </c>
      <c r="P21" s="91">
        <f>+'Inputs Field'!L27</f>
        <v>19</v>
      </c>
      <c r="Q21" s="91">
        <f>+'Inputs Field'!M27</f>
        <v>19</v>
      </c>
      <c r="R21" s="91">
        <f>+'Inputs Field'!N27</f>
        <v>19</v>
      </c>
      <c r="S21" s="91">
        <f>+'Inputs Field'!O27</f>
        <v>19</v>
      </c>
      <c r="T21" s="91">
        <f>+'Inputs Field'!P27</f>
        <v>19</v>
      </c>
      <c r="U21" s="91">
        <f>+'Inputs Field'!Q27</f>
        <v>19</v>
      </c>
      <c r="V21" s="91">
        <f>+'Inputs Field'!R27</f>
        <v>19</v>
      </c>
      <c r="W21" s="91">
        <f>+'Inputs Field'!S27</f>
        <v>19</v>
      </c>
      <c r="X21" s="91">
        <f>+'Inputs Field'!T27</f>
        <v>19</v>
      </c>
      <c r="Y21" s="91">
        <f>+'Inputs Field'!U27</f>
        <v>19</v>
      </c>
    </row>
    <row r="22" spans="2:25" x14ac:dyDescent="0.2"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spans="2:25" x14ac:dyDescent="0.2">
      <c r="B23" s="129" t="s">
        <v>97</v>
      </c>
      <c r="C23" s="129">
        <v>2016</v>
      </c>
      <c r="F23" s="123">
        <f t="shared" ref="F23:Y23" si="3">+$F18*F21</f>
        <v>0</v>
      </c>
      <c r="G23" s="123">
        <f t="shared" si="3"/>
        <v>0</v>
      </c>
      <c r="H23" s="123">
        <f t="shared" si="3"/>
        <v>0</v>
      </c>
      <c r="I23" s="123">
        <f t="shared" si="3"/>
        <v>0</v>
      </c>
      <c r="J23" s="123">
        <f t="shared" si="3"/>
        <v>0</v>
      </c>
      <c r="K23" s="123">
        <f t="shared" si="3"/>
        <v>0</v>
      </c>
      <c r="L23" s="123">
        <f t="shared" si="3"/>
        <v>0</v>
      </c>
      <c r="M23" s="123">
        <f t="shared" si="3"/>
        <v>0</v>
      </c>
      <c r="N23" s="123">
        <f t="shared" si="3"/>
        <v>0</v>
      </c>
      <c r="O23" s="123">
        <f t="shared" si="3"/>
        <v>0</v>
      </c>
      <c r="P23" s="123">
        <f t="shared" si="3"/>
        <v>0</v>
      </c>
      <c r="Q23" s="123">
        <f t="shared" si="3"/>
        <v>0</v>
      </c>
      <c r="R23" s="123">
        <f t="shared" si="3"/>
        <v>0</v>
      </c>
      <c r="S23" s="123">
        <f t="shared" si="3"/>
        <v>0</v>
      </c>
      <c r="T23" s="123">
        <f t="shared" si="3"/>
        <v>0</v>
      </c>
      <c r="U23" s="123">
        <f t="shared" si="3"/>
        <v>0</v>
      </c>
      <c r="V23" s="123">
        <f t="shared" si="3"/>
        <v>0</v>
      </c>
      <c r="W23" s="123">
        <f t="shared" si="3"/>
        <v>0</v>
      </c>
      <c r="X23" s="123">
        <f t="shared" si="3"/>
        <v>0</v>
      </c>
      <c r="Y23" s="123">
        <f t="shared" si="3"/>
        <v>0</v>
      </c>
    </row>
    <row r="24" spans="2:25" x14ac:dyDescent="0.2">
      <c r="C24" s="129">
        <f>+C23+1</f>
        <v>2017</v>
      </c>
      <c r="F24" s="123"/>
      <c r="G24" s="123">
        <f>+$G18*G21</f>
        <v>0</v>
      </c>
      <c r="H24" s="123">
        <f t="shared" ref="H24:Y24" si="4">+$G18*H21</f>
        <v>0</v>
      </c>
      <c r="I24" s="123">
        <f t="shared" si="4"/>
        <v>0</v>
      </c>
      <c r="J24" s="123">
        <f t="shared" si="4"/>
        <v>2000</v>
      </c>
      <c r="K24" s="123">
        <f t="shared" si="4"/>
        <v>4000</v>
      </c>
      <c r="L24" s="123">
        <f t="shared" si="4"/>
        <v>6000</v>
      </c>
      <c r="M24" s="123">
        <f t="shared" si="4"/>
        <v>7500</v>
      </c>
      <c r="N24" s="123">
        <f t="shared" si="4"/>
        <v>8500</v>
      </c>
      <c r="O24" s="123">
        <f t="shared" si="4"/>
        <v>9500</v>
      </c>
      <c r="P24" s="123">
        <f t="shared" si="4"/>
        <v>9500</v>
      </c>
      <c r="Q24" s="123">
        <f t="shared" si="4"/>
        <v>9500</v>
      </c>
      <c r="R24" s="123">
        <f t="shared" si="4"/>
        <v>9500</v>
      </c>
      <c r="S24" s="123">
        <f t="shared" si="4"/>
        <v>9500</v>
      </c>
      <c r="T24" s="123">
        <f t="shared" si="4"/>
        <v>9500</v>
      </c>
      <c r="U24" s="123">
        <f t="shared" si="4"/>
        <v>9500</v>
      </c>
      <c r="V24" s="123">
        <f t="shared" si="4"/>
        <v>9500</v>
      </c>
      <c r="W24" s="123">
        <f t="shared" si="4"/>
        <v>9500</v>
      </c>
      <c r="X24" s="123">
        <f t="shared" si="4"/>
        <v>9500</v>
      </c>
      <c r="Y24" s="123">
        <f t="shared" si="4"/>
        <v>9500</v>
      </c>
    </row>
    <row r="25" spans="2:25" x14ac:dyDescent="0.2">
      <c r="B25" s="1"/>
      <c r="C25" s="129">
        <f t="shared" ref="C25:C32" si="5">+C24+1</f>
        <v>2018</v>
      </c>
      <c r="F25" s="123"/>
      <c r="G25" s="123"/>
      <c r="H25" s="123">
        <f>+$H18*G21</f>
        <v>0</v>
      </c>
      <c r="I25" s="123">
        <f t="shared" ref="I25:Y25" si="6">+$H18*H21</f>
        <v>0</v>
      </c>
      <c r="J25" s="123">
        <f t="shared" si="6"/>
        <v>0</v>
      </c>
      <c r="K25" s="123">
        <f t="shared" si="6"/>
        <v>0</v>
      </c>
      <c r="L25" s="123">
        <f t="shared" si="6"/>
        <v>0</v>
      </c>
      <c r="M25" s="123">
        <f t="shared" si="6"/>
        <v>0</v>
      </c>
      <c r="N25" s="123">
        <f t="shared" si="6"/>
        <v>0</v>
      </c>
      <c r="O25" s="123">
        <f t="shared" si="6"/>
        <v>0</v>
      </c>
      <c r="P25" s="123">
        <f t="shared" si="6"/>
        <v>0</v>
      </c>
      <c r="Q25" s="123">
        <f t="shared" si="6"/>
        <v>0</v>
      </c>
      <c r="R25" s="123">
        <f t="shared" si="6"/>
        <v>0</v>
      </c>
      <c r="S25" s="123">
        <f t="shared" si="6"/>
        <v>0</v>
      </c>
      <c r="T25" s="123">
        <f t="shared" si="6"/>
        <v>0</v>
      </c>
      <c r="U25" s="123">
        <f t="shared" si="6"/>
        <v>0</v>
      </c>
      <c r="V25" s="123">
        <f t="shared" si="6"/>
        <v>0</v>
      </c>
      <c r="W25" s="123">
        <f t="shared" si="6"/>
        <v>0</v>
      </c>
      <c r="X25" s="123">
        <f t="shared" si="6"/>
        <v>0</v>
      </c>
      <c r="Y25" s="123">
        <f t="shared" si="6"/>
        <v>0</v>
      </c>
    </row>
    <row r="26" spans="2:25" x14ac:dyDescent="0.2">
      <c r="C26" s="129">
        <f t="shared" si="5"/>
        <v>2019</v>
      </c>
      <c r="F26" s="123"/>
      <c r="G26" s="123"/>
      <c r="H26" s="123"/>
      <c r="I26" s="123">
        <f>+$I18*G21</f>
        <v>0</v>
      </c>
      <c r="J26" s="123">
        <f t="shared" ref="J26:Y26" si="7">+$I18*H21</f>
        <v>0</v>
      </c>
      <c r="K26" s="123">
        <f t="shared" si="7"/>
        <v>0</v>
      </c>
      <c r="L26" s="123">
        <f t="shared" si="7"/>
        <v>0</v>
      </c>
      <c r="M26" s="123">
        <f t="shared" si="7"/>
        <v>0</v>
      </c>
      <c r="N26" s="123">
        <f t="shared" si="7"/>
        <v>0</v>
      </c>
      <c r="O26" s="123">
        <f t="shared" si="7"/>
        <v>0</v>
      </c>
      <c r="P26" s="123">
        <f t="shared" si="7"/>
        <v>0</v>
      </c>
      <c r="Q26" s="123">
        <f t="shared" si="7"/>
        <v>0</v>
      </c>
      <c r="R26" s="123">
        <f t="shared" si="7"/>
        <v>0</v>
      </c>
      <c r="S26" s="123">
        <f t="shared" si="7"/>
        <v>0</v>
      </c>
      <c r="T26" s="123">
        <f t="shared" si="7"/>
        <v>0</v>
      </c>
      <c r="U26" s="123">
        <f t="shared" si="7"/>
        <v>0</v>
      </c>
      <c r="V26" s="123">
        <f t="shared" si="7"/>
        <v>0</v>
      </c>
      <c r="W26" s="123">
        <f t="shared" si="7"/>
        <v>0</v>
      </c>
      <c r="X26" s="123">
        <f t="shared" si="7"/>
        <v>0</v>
      </c>
      <c r="Y26" s="123">
        <f t="shared" si="7"/>
        <v>0</v>
      </c>
    </row>
    <row r="27" spans="2:25" x14ac:dyDescent="0.2">
      <c r="C27" s="129">
        <f t="shared" si="5"/>
        <v>2020</v>
      </c>
      <c r="F27" s="123"/>
      <c r="G27" s="123"/>
      <c r="H27" s="123"/>
      <c r="I27" s="123"/>
      <c r="J27" s="123">
        <f>+$J18*G21</f>
        <v>0</v>
      </c>
      <c r="K27" s="123">
        <f t="shared" ref="K27:Y27" si="8">+$J18*H21</f>
        <v>0</v>
      </c>
      <c r="L27" s="123">
        <f t="shared" si="8"/>
        <v>0</v>
      </c>
      <c r="M27" s="123">
        <f t="shared" si="8"/>
        <v>0</v>
      </c>
      <c r="N27" s="123">
        <f t="shared" si="8"/>
        <v>0</v>
      </c>
      <c r="O27" s="123">
        <f t="shared" si="8"/>
        <v>0</v>
      </c>
      <c r="P27" s="123">
        <f t="shared" si="8"/>
        <v>0</v>
      </c>
      <c r="Q27" s="123">
        <f t="shared" si="8"/>
        <v>0</v>
      </c>
      <c r="R27" s="123">
        <f t="shared" si="8"/>
        <v>0</v>
      </c>
      <c r="S27" s="123">
        <f t="shared" si="8"/>
        <v>0</v>
      </c>
      <c r="T27" s="123">
        <f t="shared" si="8"/>
        <v>0</v>
      </c>
      <c r="U27" s="123">
        <f t="shared" si="8"/>
        <v>0</v>
      </c>
      <c r="V27" s="123">
        <f t="shared" si="8"/>
        <v>0</v>
      </c>
      <c r="W27" s="123">
        <f t="shared" si="8"/>
        <v>0</v>
      </c>
      <c r="X27" s="123">
        <f t="shared" si="8"/>
        <v>0</v>
      </c>
      <c r="Y27" s="123">
        <f t="shared" si="8"/>
        <v>0</v>
      </c>
    </row>
    <row r="28" spans="2:25" x14ac:dyDescent="0.2">
      <c r="C28" s="129">
        <f t="shared" si="5"/>
        <v>2021</v>
      </c>
      <c r="F28" s="123"/>
      <c r="G28" s="123"/>
      <c r="H28" s="123"/>
      <c r="I28" s="123"/>
      <c r="J28" s="123"/>
      <c r="K28" s="123">
        <f>+$K18*G21</f>
        <v>0</v>
      </c>
      <c r="L28" s="123">
        <f t="shared" ref="L28:Y28" si="9">+$K18*H21</f>
        <v>0</v>
      </c>
      <c r="M28" s="123">
        <f t="shared" si="9"/>
        <v>0</v>
      </c>
      <c r="N28" s="123">
        <f t="shared" si="9"/>
        <v>0</v>
      </c>
      <c r="O28" s="123">
        <f t="shared" si="9"/>
        <v>0</v>
      </c>
      <c r="P28" s="123">
        <f t="shared" si="9"/>
        <v>0</v>
      </c>
      <c r="Q28" s="123">
        <f t="shared" si="9"/>
        <v>0</v>
      </c>
      <c r="R28" s="123">
        <f t="shared" si="9"/>
        <v>0</v>
      </c>
      <c r="S28" s="123">
        <f t="shared" si="9"/>
        <v>0</v>
      </c>
      <c r="T28" s="123">
        <f t="shared" si="9"/>
        <v>0</v>
      </c>
      <c r="U28" s="123">
        <f t="shared" si="9"/>
        <v>0</v>
      </c>
      <c r="V28" s="123">
        <f t="shared" si="9"/>
        <v>0</v>
      </c>
      <c r="W28" s="123">
        <f t="shared" si="9"/>
        <v>0</v>
      </c>
      <c r="X28" s="123">
        <f t="shared" si="9"/>
        <v>0</v>
      </c>
      <c r="Y28" s="123">
        <f t="shared" si="9"/>
        <v>0</v>
      </c>
    </row>
    <row r="29" spans="2:25" x14ac:dyDescent="0.2">
      <c r="C29" s="129">
        <f t="shared" si="5"/>
        <v>2022</v>
      </c>
      <c r="F29" s="123"/>
      <c r="G29" s="123"/>
      <c r="H29" s="123"/>
      <c r="I29" s="123"/>
      <c r="J29" s="123"/>
      <c r="K29" s="123"/>
      <c r="L29" s="123">
        <f>+$L18*G21</f>
        <v>0</v>
      </c>
      <c r="M29" s="123">
        <f t="shared" ref="M29:Y29" si="10">+$L18*H21</f>
        <v>0</v>
      </c>
      <c r="N29" s="123">
        <f t="shared" si="10"/>
        <v>0</v>
      </c>
      <c r="O29" s="123">
        <f t="shared" si="10"/>
        <v>0</v>
      </c>
      <c r="P29" s="123">
        <f t="shared" si="10"/>
        <v>0</v>
      </c>
      <c r="Q29" s="123">
        <f t="shared" si="10"/>
        <v>0</v>
      </c>
      <c r="R29" s="123">
        <f t="shared" si="10"/>
        <v>0</v>
      </c>
      <c r="S29" s="123">
        <f t="shared" si="10"/>
        <v>0</v>
      </c>
      <c r="T29" s="123">
        <f t="shared" si="10"/>
        <v>0</v>
      </c>
      <c r="U29" s="123">
        <f t="shared" si="10"/>
        <v>0</v>
      </c>
      <c r="V29" s="123">
        <f t="shared" si="10"/>
        <v>0</v>
      </c>
      <c r="W29" s="123">
        <f t="shared" si="10"/>
        <v>0</v>
      </c>
      <c r="X29" s="123">
        <f t="shared" si="10"/>
        <v>0</v>
      </c>
      <c r="Y29" s="123">
        <f t="shared" si="10"/>
        <v>0</v>
      </c>
    </row>
    <row r="30" spans="2:25" x14ac:dyDescent="0.2">
      <c r="C30" s="129">
        <f t="shared" si="5"/>
        <v>2023</v>
      </c>
      <c r="F30" s="123"/>
      <c r="G30" s="123"/>
      <c r="H30" s="123"/>
      <c r="I30" s="123"/>
      <c r="J30" s="123"/>
      <c r="K30" s="123"/>
      <c r="L30" s="123"/>
      <c r="M30" s="123">
        <f>+$M18*G21</f>
        <v>0</v>
      </c>
      <c r="N30" s="123">
        <f t="shared" ref="N30:Y30" si="11">+$M18*H21</f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  <c r="T30" s="123">
        <f t="shared" si="11"/>
        <v>0</v>
      </c>
      <c r="U30" s="123">
        <f t="shared" si="11"/>
        <v>0</v>
      </c>
      <c r="V30" s="123">
        <f t="shared" si="11"/>
        <v>0</v>
      </c>
      <c r="W30" s="123">
        <f t="shared" si="11"/>
        <v>0</v>
      </c>
      <c r="X30" s="123">
        <f t="shared" si="11"/>
        <v>0</v>
      </c>
      <c r="Y30" s="123">
        <f t="shared" si="11"/>
        <v>0</v>
      </c>
    </row>
    <row r="31" spans="2:25" x14ac:dyDescent="0.2">
      <c r="C31" s="129">
        <f t="shared" si="5"/>
        <v>2024</v>
      </c>
      <c r="F31" s="123"/>
      <c r="G31" s="123"/>
      <c r="H31" s="123"/>
      <c r="I31" s="123"/>
      <c r="J31" s="123"/>
      <c r="K31" s="123"/>
      <c r="L31" s="123"/>
      <c r="M31" s="123"/>
      <c r="N31" s="123">
        <f>+$N18*G21</f>
        <v>0</v>
      </c>
      <c r="O31" s="123">
        <f t="shared" ref="O31:Y31" si="12">+$N18*H21</f>
        <v>0</v>
      </c>
      <c r="P31" s="123">
        <f t="shared" si="12"/>
        <v>0</v>
      </c>
      <c r="Q31" s="123">
        <f t="shared" si="12"/>
        <v>0</v>
      </c>
      <c r="R31" s="123">
        <f t="shared" si="12"/>
        <v>0</v>
      </c>
      <c r="S31" s="123">
        <f t="shared" si="12"/>
        <v>0</v>
      </c>
      <c r="T31" s="123">
        <f t="shared" si="12"/>
        <v>0</v>
      </c>
      <c r="U31" s="123">
        <f t="shared" si="12"/>
        <v>0</v>
      </c>
      <c r="V31" s="123">
        <f t="shared" si="12"/>
        <v>0</v>
      </c>
      <c r="W31" s="123">
        <f t="shared" si="12"/>
        <v>0</v>
      </c>
      <c r="X31" s="123">
        <f t="shared" si="12"/>
        <v>0</v>
      </c>
      <c r="Y31" s="123">
        <f t="shared" si="12"/>
        <v>0</v>
      </c>
    </row>
    <row r="32" spans="2:25" x14ac:dyDescent="0.2">
      <c r="C32" s="129">
        <f t="shared" si="5"/>
        <v>2025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>
        <f>+$O18*G21</f>
        <v>0</v>
      </c>
      <c r="P32" s="123">
        <f t="shared" ref="P32:Y32" si="13">+$O18*H21</f>
        <v>0</v>
      </c>
      <c r="Q32" s="123">
        <f t="shared" si="13"/>
        <v>0</v>
      </c>
      <c r="R32" s="123">
        <f t="shared" si="13"/>
        <v>0</v>
      </c>
      <c r="S32" s="123">
        <f t="shared" si="13"/>
        <v>0</v>
      </c>
      <c r="T32" s="123">
        <f t="shared" si="13"/>
        <v>0</v>
      </c>
      <c r="U32" s="123">
        <f t="shared" si="13"/>
        <v>0</v>
      </c>
      <c r="V32" s="123">
        <f t="shared" si="13"/>
        <v>0</v>
      </c>
      <c r="W32" s="123">
        <f t="shared" si="13"/>
        <v>0</v>
      </c>
      <c r="X32" s="123">
        <f t="shared" si="13"/>
        <v>0</v>
      </c>
      <c r="Y32" s="123">
        <f t="shared" si="13"/>
        <v>0</v>
      </c>
    </row>
    <row r="33" spans="2:25" x14ac:dyDescent="0.2"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2:25" x14ac:dyDescent="0.2">
      <c r="B34" s="129" t="s">
        <v>98</v>
      </c>
      <c r="C34" s="123"/>
      <c r="D34" s="123"/>
      <c r="E34" s="123"/>
      <c r="F34" s="123">
        <f t="shared" ref="F34:Y34" si="14">SUM(F23:F32)</f>
        <v>0</v>
      </c>
      <c r="G34" s="123">
        <f t="shared" si="14"/>
        <v>0</v>
      </c>
      <c r="H34" s="123">
        <f t="shared" si="14"/>
        <v>0</v>
      </c>
      <c r="I34" s="123">
        <f t="shared" si="14"/>
        <v>0</v>
      </c>
      <c r="J34" s="123">
        <f t="shared" si="14"/>
        <v>2000</v>
      </c>
      <c r="K34" s="123">
        <f t="shared" si="14"/>
        <v>4000</v>
      </c>
      <c r="L34" s="123">
        <f t="shared" si="14"/>
        <v>6000</v>
      </c>
      <c r="M34" s="123">
        <f t="shared" si="14"/>
        <v>7500</v>
      </c>
      <c r="N34" s="123">
        <f t="shared" si="14"/>
        <v>8500</v>
      </c>
      <c r="O34" s="123">
        <f t="shared" si="14"/>
        <v>9500</v>
      </c>
      <c r="P34" s="123">
        <f t="shared" si="14"/>
        <v>9500</v>
      </c>
      <c r="Q34" s="123">
        <f t="shared" si="14"/>
        <v>9500</v>
      </c>
      <c r="R34" s="123">
        <f t="shared" si="14"/>
        <v>9500</v>
      </c>
      <c r="S34" s="123">
        <f t="shared" si="14"/>
        <v>9500</v>
      </c>
      <c r="T34" s="123">
        <f t="shared" si="14"/>
        <v>9500</v>
      </c>
      <c r="U34" s="123">
        <f t="shared" si="14"/>
        <v>9500</v>
      </c>
      <c r="V34" s="123">
        <f t="shared" si="14"/>
        <v>9500</v>
      </c>
      <c r="W34" s="123">
        <f t="shared" si="14"/>
        <v>9500</v>
      </c>
      <c r="X34" s="123">
        <f t="shared" si="14"/>
        <v>9500</v>
      </c>
      <c r="Y34" s="123">
        <f t="shared" si="14"/>
        <v>9500</v>
      </c>
    </row>
    <row r="35" spans="2:25" x14ac:dyDescent="0.2"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</row>
    <row r="36" spans="2:25" x14ac:dyDescent="0.2">
      <c r="B36" s="129" t="s">
        <v>112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</row>
    <row r="37" spans="2:25" x14ac:dyDescent="0.2">
      <c r="B37" s="129" t="s">
        <v>113</v>
      </c>
      <c r="C37" s="123"/>
      <c r="D37" s="123"/>
      <c r="E37" s="123"/>
      <c r="F37" s="123"/>
      <c r="G37" s="123"/>
      <c r="H37" s="123">
        <f>+'Assumptions &amp; Costs'!$J30</f>
        <v>24.218333333333334</v>
      </c>
      <c r="I37" s="123">
        <f>+'Assumptions &amp; Costs'!$J31</f>
        <v>16.555</v>
      </c>
      <c r="J37" s="123">
        <f>+'Assumptions &amp; Costs'!$J32</f>
        <v>13.942499999999999</v>
      </c>
      <c r="K37" s="123">
        <f>+'Assumptions &amp; Costs'!$J33</f>
        <v>12.375</v>
      </c>
      <c r="L37" s="123">
        <f>+'Assumptions &amp; Costs'!$J34</f>
        <v>11.852499999999999</v>
      </c>
      <c r="M37" s="123">
        <f>+'Assumptions &amp; Costs'!$J35</f>
        <v>11.199375</v>
      </c>
      <c r="N37" s="123">
        <f>+'Assumptions &amp; Costs'!$J36</f>
        <v>9.7624999999999993</v>
      </c>
      <c r="O37" s="123">
        <f>+'Assumptions &amp; Costs'!$J37</f>
        <v>9.675416666666667</v>
      </c>
      <c r="P37" s="123">
        <f>+'Assumptions &amp; Costs'!$J38</f>
        <v>9.24</v>
      </c>
      <c r="Q37" s="123">
        <f>+'Assumptions &amp; Costs'!$J39</f>
        <v>9.5883333333333347</v>
      </c>
      <c r="R37" s="123">
        <f>+'Assumptions &amp; Costs'!$J40</f>
        <v>10.219687499999999</v>
      </c>
      <c r="S37" s="123">
        <f>+'Assumptions &amp; Costs'!$J41</f>
        <v>10.469411764705882</v>
      </c>
      <c r="T37" s="123">
        <f>+'Assumptions &amp; Costs'!$J42</f>
        <v>10.691388888888889</v>
      </c>
      <c r="U37" s="123">
        <f>+'Assumptions &amp; Costs'!$J43</f>
        <v>11.440000000000001</v>
      </c>
      <c r="V37" s="123">
        <f>+'Assumptions &amp; Costs'!$J44</f>
        <v>11.33</v>
      </c>
      <c r="W37" s="123">
        <f>+'Assumptions &amp; Costs'!$J45</f>
        <v>11.33</v>
      </c>
      <c r="X37" s="123">
        <f>+'Assumptions &amp; Costs'!$J46</f>
        <v>11.728095238095237</v>
      </c>
      <c r="Y37" s="123">
        <f>+'Assumptions &amp; Costs'!$J47</f>
        <v>11.728095238095237</v>
      </c>
    </row>
    <row r="38" spans="2:25" x14ac:dyDescent="0.2"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spans="2:25" x14ac:dyDescent="0.2">
      <c r="B39" s="129" t="s">
        <v>111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spans="2:25" x14ac:dyDescent="0.2">
      <c r="B40" s="129" t="s">
        <v>0</v>
      </c>
      <c r="C40" s="123"/>
      <c r="D40" s="123"/>
      <c r="E40" s="123"/>
      <c r="F40" s="123">
        <v>0</v>
      </c>
      <c r="G40" s="123">
        <v>0</v>
      </c>
      <c r="H40" s="123">
        <f>+(H23*H37)</f>
        <v>0</v>
      </c>
      <c r="I40" s="123">
        <f>+(I23*I37)+(I24*H37)</f>
        <v>0</v>
      </c>
      <c r="J40" s="123">
        <f>+(J23*J37)+(J24*H37)+(J25*H37)</f>
        <v>48436.666666666664</v>
      </c>
      <c r="K40" s="123">
        <f>+(K23*K37)+(K24*I37)+(K25*I37)+(K26*H37)</f>
        <v>66220</v>
      </c>
      <c r="L40" s="123">
        <f>+(L23*L37)+(L24*J37)+(L25*J37)+(L26*I37)+(L27*H37)</f>
        <v>83655</v>
      </c>
      <c r="M40" s="123">
        <f>+(M23*M37)+(M24*K37)+(M25*K37)+(M26*J37)+(M27*I37)</f>
        <v>92812.5</v>
      </c>
      <c r="N40" s="123">
        <f>+(N23*N37)+(N24*L37)+(N25*L37)+(N26*K37)+(N27*J37)</f>
        <v>100746.25</v>
      </c>
      <c r="O40" s="123">
        <f t="shared" ref="O40:Y40" si="15">+(O23*O37)+(O24*M37)+(O25*M37)+(O26*L37)+(O27*K37)</f>
        <v>106394.0625</v>
      </c>
      <c r="P40" s="123">
        <f t="shared" si="15"/>
        <v>92743.75</v>
      </c>
      <c r="Q40" s="123">
        <f t="shared" si="15"/>
        <v>91916.458333333343</v>
      </c>
      <c r="R40" s="123">
        <f t="shared" si="15"/>
        <v>87780</v>
      </c>
      <c r="S40" s="123">
        <f t="shared" si="15"/>
        <v>91089.166666666686</v>
      </c>
      <c r="T40" s="123">
        <f t="shared" si="15"/>
        <v>97087.031249999985</v>
      </c>
      <c r="U40" s="123">
        <f t="shared" si="15"/>
        <v>99459.411764705874</v>
      </c>
      <c r="V40" s="123">
        <f t="shared" si="15"/>
        <v>101568.19444444445</v>
      </c>
      <c r="W40" s="123">
        <f t="shared" si="15"/>
        <v>108680.00000000001</v>
      </c>
      <c r="X40" s="123">
        <f t="shared" si="15"/>
        <v>107635</v>
      </c>
      <c r="Y40" s="123">
        <f t="shared" si="15"/>
        <v>107635</v>
      </c>
    </row>
    <row r="41" spans="2:25" x14ac:dyDescent="0.2">
      <c r="B41" s="129" t="s">
        <v>106</v>
      </c>
      <c r="C41" s="43">
        <f>+'Assumptions &amp; Costs'!D59+'Assumptions &amp; Costs'!D60</f>
        <v>0</v>
      </c>
      <c r="D41" s="43"/>
      <c r="E41" s="43"/>
      <c r="F41" s="123">
        <f>+F40*$C41</f>
        <v>0</v>
      </c>
      <c r="G41" s="123">
        <f t="shared" ref="G41:Y41" si="16">+G40*$C41</f>
        <v>0</v>
      </c>
      <c r="H41" s="123">
        <f t="shared" si="16"/>
        <v>0</v>
      </c>
      <c r="I41" s="123">
        <f t="shared" si="16"/>
        <v>0</v>
      </c>
      <c r="J41" s="123">
        <f t="shared" si="16"/>
        <v>0</v>
      </c>
      <c r="K41" s="123">
        <f t="shared" si="16"/>
        <v>0</v>
      </c>
      <c r="L41" s="123">
        <f t="shared" si="16"/>
        <v>0</v>
      </c>
      <c r="M41" s="123">
        <f t="shared" si="16"/>
        <v>0</v>
      </c>
      <c r="N41" s="123">
        <f t="shared" si="16"/>
        <v>0</v>
      </c>
      <c r="O41" s="123">
        <f t="shared" si="16"/>
        <v>0</v>
      </c>
      <c r="P41" s="123">
        <f t="shared" si="16"/>
        <v>0</v>
      </c>
      <c r="Q41" s="123">
        <f t="shared" si="16"/>
        <v>0</v>
      </c>
      <c r="R41" s="123">
        <f t="shared" si="16"/>
        <v>0</v>
      </c>
      <c r="S41" s="123">
        <f t="shared" si="16"/>
        <v>0</v>
      </c>
      <c r="T41" s="123">
        <f t="shared" si="16"/>
        <v>0</v>
      </c>
      <c r="U41" s="123">
        <f t="shared" si="16"/>
        <v>0</v>
      </c>
      <c r="V41" s="123">
        <f t="shared" si="16"/>
        <v>0</v>
      </c>
      <c r="W41" s="123">
        <f t="shared" si="16"/>
        <v>0</v>
      </c>
      <c r="X41" s="123">
        <f t="shared" si="16"/>
        <v>0</v>
      </c>
      <c r="Y41" s="123">
        <f t="shared" si="16"/>
        <v>0</v>
      </c>
    </row>
    <row r="42" spans="2:25" x14ac:dyDescent="0.2">
      <c r="B42" s="129" t="s">
        <v>107</v>
      </c>
      <c r="C42" s="185">
        <f>+'Assumptions &amp; Costs'!D58</f>
        <v>0.25</v>
      </c>
      <c r="D42" s="123" t="s">
        <v>466</v>
      </c>
      <c r="E42" s="123"/>
      <c r="F42" s="123">
        <f t="shared" ref="F42:Y42" si="17">SUM(F34)*$C42</f>
        <v>0</v>
      </c>
      <c r="G42" s="123">
        <f t="shared" si="17"/>
        <v>0</v>
      </c>
      <c r="H42" s="123">
        <f t="shared" si="17"/>
        <v>0</v>
      </c>
      <c r="I42" s="123">
        <f t="shared" si="17"/>
        <v>0</v>
      </c>
      <c r="J42" s="123">
        <f t="shared" si="17"/>
        <v>500</v>
      </c>
      <c r="K42" s="123">
        <f t="shared" si="17"/>
        <v>1000</v>
      </c>
      <c r="L42" s="123">
        <f t="shared" si="17"/>
        <v>1500</v>
      </c>
      <c r="M42" s="123">
        <f t="shared" si="17"/>
        <v>1875</v>
      </c>
      <c r="N42" s="123">
        <f t="shared" si="17"/>
        <v>2125</v>
      </c>
      <c r="O42" s="123">
        <f t="shared" si="17"/>
        <v>2375</v>
      </c>
      <c r="P42" s="123">
        <f t="shared" si="17"/>
        <v>2375</v>
      </c>
      <c r="Q42" s="123">
        <f t="shared" si="17"/>
        <v>2375</v>
      </c>
      <c r="R42" s="123">
        <f t="shared" si="17"/>
        <v>2375</v>
      </c>
      <c r="S42" s="123">
        <f t="shared" si="17"/>
        <v>2375</v>
      </c>
      <c r="T42" s="123">
        <f t="shared" si="17"/>
        <v>2375</v>
      </c>
      <c r="U42" s="123">
        <f t="shared" si="17"/>
        <v>2375</v>
      </c>
      <c r="V42" s="123">
        <f t="shared" si="17"/>
        <v>2375</v>
      </c>
      <c r="W42" s="123">
        <f t="shared" si="17"/>
        <v>2375</v>
      </c>
      <c r="X42" s="123">
        <f t="shared" si="17"/>
        <v>2375</v>
      </c>
      <c r="Y42" s="123">
        <f t="shared" si="17"/>
        <v>2375</v>
      </c>
    </row>
    <row r="43" spans="2:25" x14ac:dyDescent="0.2">
      <c r="B43" s="129" t="s">
        <v>203</v>
      </c>
      <c r="C43" s="82">
        <f>+'Assumptions &amp; Costs'!D57</f>
        <v>17</v>
      </c>
      <c r="D43" s="123" t="s">
        <v>466</v>
      </c>
      <c r="E43" s="123"/>
      <c r="F43" s="123">
        <f t="shared" ref="F43:Y43" si="18">+F34*$C43</f>
        <v>0</v>
      </c>
      <c r="G43" s="123">
        <f t="shared" si="18"/>
        <v>0</v>
      </c>
      <c r="H43" s="123">
        <f t="shared" si="18"/>
        <v>0</v>
      </c>
      <c r="I43" s="123">
        <f t="shared" si="18"/>
        <v>0</v>
      </c>
      <c r="J43" s="123">
        <f t="shared" si="18"/>
        <v>34000</v>
      </c>
      <c r="K43" s="123">
        <f t="shared" si="18"/>
        <v>68000</v>
      </c>
      <c r="L43" s="123">
        <f t="shared" si="18"/>
        <v>102000</v>
      </c>
      <c r="M43" s="123">
        <f t="shared" si="18"/>
        <v>127500</v>
      </c>
      <c r="N43" s="123">
        <f t="shared" si="18"/>
        <v>144500</v>
      </c>
      <c r="O43" s="123">
        <f t="shared" si="18"/>
        <v>161500</v>
      </c>
      <c r="P43" s="123">
        <f t="shared" si="18"/>
        <v>161500</v>
      </c>
      <c r="Q43" s="123">
        <f t="shared" si="18"/>
        <v>161500</v>
      </c>
      <c r="R43" s="123">
        <f t="shared" si="18"/>
        <v>161500</v>
      </c>
      <c r="S43" s="123">
        <f t="shared" si="18"/>
        <v>161500</v>
      </c>
      <c r="T43" s="123">
        <f t="shared" si="18"/>
        <v>161500</v>
      </c>
      <c r="U43" s="123">
        <f t="shared" si="18"/>
        <v>161500</v>
      </c>
      <c r="V43" s="123">
        <f t="shared" si="18"/>
        <v>161500</v>
      </c>
      <c r="W43" s="123">
        <f t="shared" si="18"/>
        <v>161500</v>
      </c>
      <c r="X43" s="123">
        <f t="shared" si="18"/>
        <v>161500</v>
      </c>
      <c r="Y43" s="123">
        <f t="shared" si="18"/>
        <v>161500</v>
      </c>
    </row>
    <row r="44" spans="2:25" x14ac:dyDescent="0.2">
      <c r="B44" s="129" t="s">
        <v>467</v>
      </c>
      <c r="C44" s="123"/>
      <c r="D44" s="123"/>
      <c r="E44" s="123"/>
      <c r="F44" s="123">
        <f>SUM(F40:F43)</f>
        <v>0</v>
      </c>
      <c r="G44" s="123">
        <f t="shared" ref="G44:Y44" si="19">SUM(G40:G43)</f>
        <v>0</v>
      </c>
      <c r="H44" s="123">
        <f t="shared" si="19"/>
        <v>0</v>
      </c>
      <c r="I44" s="123">
        <f t="shared" si="19"/>
        <v>0</v>
      </c>
      <c r="J44" s="123">
        <f t="shared" si="19"/>
        <v>82936.666666666657</v>
      </c>
      <c r="K44" s="123">
        <f t="shared" si="19"/>
        <v>135220</v>
      </c>
      <c r="L44" s="123">
        <f t="shared" si="19"/>
        <v>187155</v>
      </c>
      <c r="M44" s="123">
        <f t="shared" si="19"/>
        <v>222187.5</v>
      </c>
      <c r="N44" s="123">
        <f t="shared" si="19"/>
        <v>247371.25</v>
      </c>
      <c r="O44" s="123">
        <f t="shared" si="19"/>
        <v>270269.0625</v>
      </c>
      <c r="P44" s="123">
        <f t="shared" si="19"/>
        <v>256618.75</v>
      </c>
      <c r="Q44" s="123">
        <f t="shared" si="19"/>
        <v>255791.45833333334</v>
      </c>
      <c r="R44" s="123">
        <f t="shared" si="19"/>
        <v>251655</v>
      </c>
      <c r="S44" s="123">
        <f t="shared" si="19"/>
        <v>254964.16666666669</v>
      </c>
      <c r="T44" s="123">
        <f t="shared" si="19"/>
        <v>260962.03125</v>
      </c>
      <c r="U44" s="123">
        <f t="shared" si="19"/>
        <v>263334.4117647059</v>
      </c>
      <c r="V44" s="123">
        <f t="shared" si="19"/>
        <v>265443.19444444444</v>
      </c>
      <c r="W44" s="123">
        <f t="shared" si="19"/>
        <v>272555</v>
      </c>
      <c r="X44" s="123">
        <f t="shared" si="19"/>
        <v>271510</v>
      </c>
      <c r="Y44" s="123">
        <f t="shared" si="19"/>
        <v>271510</v>
      </c>
    </row>
    <row r="45" spans="2:25" x14ac:dyDescent="0.2"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spans="2:25" x14ac:dyDescent="0.2">
      <c r="B46" s="1" t="s">
        <v>100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spans="2:25" x14ac:dyDescent="0.2">
      <c r="B47" s="1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2:25" x14ac:dyDescent="0.2">
      <c r="B48" s="1" t="s">
        <v>108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2:25" x14ac:dyDescent="0.2">
      <c r="B49" s="1" t="s">
        <v>0</v>
      </c>
      <c r="C49" s="75" t="s">
        <v>229</v>
      </c>
      <c r="D49" s="75" t="s">
        <v>230</v>
      </c>
      <c r="E49" s="75" t="s">
        <v>460</v>
      </c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spans="2:25" x14ac:dyDescent="0.2">
      <c r="B50" s="129" t="s">
        <v>59</v>
      </c>
      <c r="C50" s="79">
        <f>+'Inputs Field'!D33</f>
        <v>5</v>
      </c>
      <c r="D50" s="34">
        <f>+'Inputs Field'!F33</f>
        <v>1</v>
      </c>
      <c r="E50" s="34">
        <f>+C50*D50*'Assumptions &amp; Costs'!E$76*(1+'Assumptions &amp; Costs'!C$81)</f>
        <v>28.737499999999997</v>
      </c>
      <c r="F50" s="123">
        <f t="shared" ref="F50:U65" si="20">+$E50*F$18</f>
        <v>0</v>
      </c>
      <c r="G50" s="123">
        <f t="shared" si="20"/>
        <v>14368.749999999998</v>
      </c>
      <c r="H50" s="123">
        <f t="shared" si="20"/>
        <v>0</v>
      </c>
      <c r="I50" s="123">
        <f t="shared" si="20"/>
        <v>0</v>
      </c>
      <c r="J50" s="123">
        <f t="shared" si="20"/>
        <v>0</v>
      </c>
      <c r="K50" s="123">
        <f t="shared" si="20"/>
        <v>0</v>
      </c>
      <c r="L50" s="123">
        <f t="shared" si="20"/>
        <v>0</v>
      </c>
      <c r="M50" s="123">
        <f t="shared" si="20"/>
        <v>0</v>
      </c>
      <c r="N50" s="123">
        <f t="shared" si="20"/>
        <v>0</v>
      </c>
      <c r="O50" s="123">
        <f t="shared" si="20"/>
        <v>0</v>
      </c>
      <c r="P50" s="123">
        <f t="shared" si="20"/>
        <v>0</v>
      </c>
      <c r="Q50" s="123">
        <f t="shared" si="20"/>
        <v>0</v>
      </c>
      <c r="R50" s="123">
        <f t="shared" si="20"/>
        <v>0</v>
      </c>
      <c r="S50" s="123">
        <f t="shared" si="20"/>
        <v>0</v>
      </c>
      <c r="T50" s="123">
        <f t="shared" si="20"/>
        <v>0</v>
      </c>
      <c r="U50" s="123">
        <f t="shared" si="20"/>
        <v>0</v>
      </c>
      <c r="V50" s="123">
        <f t="shared" ref="V50:Y65" si="21">+$E50*V$18</f>
        <v>0</v>
      </c>
      <c r="W50" s="123">
        <f t="shared" si="21"/>
        <v>0</v>
      </c>
      <c r="X50" s="123">
        <f t="shared" si="21"/>
        <v>0</v>
      </c>
      <c r="Y50" s="123">
        <f t="shared" si="21"/>
        <v>0</v>
      </c>
    </row>
    <row r="51" spans="2:25" x14ac:dyDescent="0.2">
      <c r="B51" s="129" t="s">
        <v>65</v>
      </c>
      <c r="C51" s="79">
        <f>+'Inputs Field'!D36</f>
        <v>1</v>
      </c>
      <c r="D51" s="34">
        <f>+'Inputs Field'!F36</f>
        <v>1</v>
      </c>
      <c r="E51" s="34">
        <f>+C51*D51*'Assumptions &amp; Costs'!E$76*(1+'Assumptions &amp; Costs'!C$81)</f>
        <v>5.7474999999999996</v>
      </c>
      <c r="F51" s="123">
        <f t="shared" si="20"/>
        <v>0</v>
      </c>
      <c r="G51" s="123">
        <f t="shared" si="20"/>
        <v>2873.75</v>
      </c>
      <c r="H51" s="123">
        <f t="shared" si="20"/>
        <v>0</v>
      </c>
      <c r="I51" s="123">
        <f t="shared" si="20"/>
        <v>0</v>
      </c>
      <c r="J51" s="123">
        <f t="shared" si="20"/>
        <v>0</v>
      </c>
      <c r="K51" s="123">
        <f t="shared" si="20"/>
        <v>0</v>
      </c>
      <c r="L51" s="123">
        <f t="shared" si="20"/>
        <v>0</v>
      </c>
      <c r="M51" s="123">
        <f t="shared" si="20"/>
        <v>0</v>
      </c>
      <c r="N51" s="123">
        <f t="shared" si="20"/>
        <v>0</v>
      </c>
      <c r="O51" s="123">
        <f t="shared" si="20"/>
        <v>0</v>
      </c>
      <c r="P51" s="123">
        <f t="shared" si="20"/>
        <v>0</v>
      </c>
      <c r="Q51" s="123">
        <f t="shared" si="20"/>
        <v>0</v>
      </c>
      <c r="R51" s="123">
        <f t="shared" si="20"/>
        <v>0</v>
      </c>
      <c r="S51" s="123">
        <f t="shared" si="20"/>
        <v>0</v>
      </c>
      <c r="T51" s="123">
        <f t="shared" si="20"/>
        <v>0</v>
      </c>
      <c r="U51" s="123">
        <f t="shared" si="20"/>
        <v>0</v>
      </c>
      <c r="V51" s="123">
        <f t="shared" si="21"/>
        <v>0</v>
      </c>
      <c r="W51" s="123">
        <f t="shared" si="21"/>
        <v>0</v>
      </c>
      <c r="X51" s="123">
        <f t="shared" si="21"/>
        <v>0</v>
      </c>
      <c r="Y51" s="123">
        <f t="shared" si="21"/>
        <v>0</v>
      </c>
    </row>
    <row r="52" spans="2:25" x14ac:dyDescent="0.2">
      <c r="B52" s="129" t="s">
        <v>64</v>
      </c>
      <c r="C52" s="79">
        <f>+'Inputs Field'!D40</f>
        <v>8</v>
      </c>
      <c r="D52" s="34">
        <f>+'Inputs Field'!F40</f>
        <v>1</v>
      </c>
      <c r="E52" s="34">
        <f>+C52*D52*'Assumptions &amp; Costs'!E$76*(1+'Assumptions &amp; Costs'!C$81)</f>
        <v>45.98</v>
      </c>
      <c r="F52" s="123">
        <f t="shared" si="20"/>
        <v>0</v>
      </c>
      <c r="G52" s="123">
        <f t="shared" si="20"/>
        <v>22990</v>
      </c>
      <c r="H52" s="123">
        <f t="shared" si="20"/>
        <v>0</v>
      </c>
      <c r="I52" s="123">
        <f t="shared" si="20"/>
        <v>0</v>
      </c>
      <c r="J52" s="123">
        <f t="shared" si="20"/>
        <v>0</v>
      </c>
      <c r="K52" s="123">
        <f t="shared" si="20"/>
        <v>0</v>
      </c>
      <c r="L52" s="123">
        <f t="shared" si="20"/>
        <v>0</v>
      </c>
      <c r="M52" s="123">
        <f t="shared" si="20"/>
        <v>0</v>
      </c>
      <c r="N52" s="123">
        <f t="shared" si="20"/>
        <v>0</v>
      </c>
      <c r="O52" s="123">
        <f t="shared" si="20"/>
        <v>0</v>
      </c>
      <c r="P52" s="123">
        <f t="shared" si="20"/>
        <v>0</v>
      </c>
      <c r="Q52" s="123">
        <f t="shared" si="20"/>
        <v>0</v>
      </c>
      <c r="R52" s="123">
        <f t="shared" si="20"/>
        <v>0</v>
      </c>
      <c r="S52" s="123">
        <f t="shared" si="20"/>
        <v>0</v>
      </c>
      <c r="T52" s="123">
        <f t="shared" si="20"/>
        <v>0</v>
      </c>
      <c r="U52" s="123">
        <f t="shared" si="20"/>
        <v>0</v>
      </c>
      <c r="V52" s="123">
        <f t="shared" si="21"/>
        <v>0</v>
      </c>
      <c r="W52" s="123">
        <f t="shared" si="21"/>
        <v>0</v>
      </c>
      <c r="X52" s="123">
        <f t="shared" si="21"/>
        <v>0</v>
      </c>
      <c r="Y52" s="123">
        <f t="shared" si="21"/>
        <v>0</v>
      </c>
    </row>
    <row r="53" spans="2:25" x14ac:dyDescent="0.2">
      <c r="B53" s="129" t="s">
        <v>18</v>
      </c>
      <c r="C53" s="79">
        <f>+'Inputs Field'!D41</f>
        <v>2</v>
      </c>
      <c r="D53" s="34">
        <f>+'Inputs Field'!F41</f>
        <v>1</v>
      </c>
      <c r="E53" s="34">
        <f>+C53*D53*'Assumptions &amp; Costs'!E$76*(1+'Assumptions &amp; Costs'!C$81)</f>
        <v>11.494999999999999</v>
      </c>
      <c r="F53" s="123">
        <f t="shared" si="20"/>
        <v>0</v>
      </c>
      <c r="G53" s="123">
        <f t="shared" si="20"/>
        <v>5747.5</v>
      </c>
      <c r="H53" s="123">
        <f t="shared" si="20"/>
        <v>0</v>
      </c>
      <c r="I53" s="123">
        <f t="shared" si="20"/>
        <v>0</v>
      </c>
      <c r="J53" s="123">
        <f t="shared" si="20"/>
        <v>0</v>
      </c>
      <c r="K53" s="123">
        <f t="shared" si="20"/>
        <v>0</v>
      </c>
      <c r="L53" s="123">
        <f t="shared" si="20"/>
        <v>0</v>
      </c>
      <c r="M53" s="123">
        <f t="shared" si="20"/>
        <v>0</v>
      </c>
      <c r="N53" s="123">
        <f t="shared" si="20"/>
        <v>0</v>
      </c>
      <c r="O53" s="123">
        <f t="shared" si="20"/>
        <v>0</v>
      </c>
      <c r="P53" s="123">
        <f t="shared" si="20"/>
        <v>0</v>
      </c>
      <c r="Q53" s="123">
        <f t="shared" si="20"/>
        <v>0</v>
      </c>
      <c r="R53" s="123">
        <f t="shared" si="20"/>
        <v>0</v>
      </c>
      <c r="S53" s="123">
        <f t="shared" si="20"/>
        <v>0</v>
      </c>
      <c r="T53" s="123">
        <f t="shared" si="20"/>
        <v>0</v>
      </c>
      <c r="U53" s="123">
        <f t="shared" si="20"/>
        <v>0</v>
      </c>
      <c r="V53" s="123">
        <f t="shared" si="21"/>
        <v>0</v>
      </c>
      <c r="W53" s="123">
        <f t="shared" si="21"/>
        <v>0</v>
      </c>
      <c r="X53" s="123">
        <f t="shared" si="21"/>
        <v>0</v>
      </c>
      <c r="Y53" s="123">
        <f t="shared" si="21"/>
        <v>0</v>
      </c>
    </row>
    <row r="54" spans="2:25" x14ac:dyDescent="0.2">
      <c r="B54" s="129" t="s">
        <v>69</v>
      </c>
      <c r="C54" s="79">
        <f>+'Inputs Field'!D42</f>
        <v>2</v>
      </c>
      <c r="D54" s="34">
        <f>+'Inputs Field'!F42</f>
        <v>1</v>
      </c>
      <c r="E54" s="34">
        <f>+C54*D54*'Assumptions &amp; Costs'!E$76*(1+'Assumptions &amp; Costs'!C$81)</f>
        <v>11.494999999999999</v>
      </c>
      <c r="F54" s="123">
        <f t="shared" si="20"/>
        <v>0</v>
      </c>
      <c r="G54" s="123">
        <f t="shared" si="20"/>
        <v>5747.5</v>
      </c>
      <c r="H54" s="123">
        <f t="shared" si="20"/>
        <v>0</v>
      </c>
      <c r="I54" s="123">
        <f t="shared" si="20"/>
        <v>0</v>
      </c>
      <c r="J54" s="123">
        <f t="shared" si="20"/>
        <v>0</v>
      </c>
      <c r="K54" s="123">
        <f t="shared" si="20"/>
        <v>0</v>
      </c>
      <c r="L54" s="123">
        <f t="shared" si="20"/>
        <v>0</v>
      </c>
      <c r="M54" s="123">
        <f t="shared" si="20"/>
        <v>0</v>
      </c>
      <c r="N54" s="123">
        <f t="shared" si="20"/>
        <v>0</v>
      </c>
      <c r="O54" s="123">
        <f t="shared" si="20"/>
        <v>0</v>
      </c>
      <c r="P54" s="123">
        <f t="shared" si="20"/>
        <v>0</v>
      </c>
      <c r="Q54" s="123">
        <f t="shared" si="20"/>
        <v>0</v>
      </c>
      <c r="R54" s="123">
        <f t="shared" si="20"/>
        <v>0</v>
      </c>
      <c r="S54" s="123">
        <f t="shared" si="20"/>
        <v>0</v>
      </c>
      <c r="T54" s="123">
        <f t="shared" si="20"/>
        <v>0</v>
      </c>
      <c r="U54" s="123">
        <f t="shared" si="20"/>
        <v>0</v>
      </c>
      <c r="V54" s="123">
        <f t="shared" si="21"/>
        <v>0</v>
      </c>
      <c r="W54" s="123">
        <f t="shared" si="21"/>
        <v>0</v>
      </c>
      <c r="X54" s="123">
        <f t="shared" si="21"/>
        <v>0</v>
      </c>
      <c r="Y54" s="123">
        <f t="shared" si="21"/>
        <v>0</v>
      </c>
    </row>
    <row r="55" spans="2:25" x14ac:dyDescent="0.2">
      <c r="B55" s="129" t="s">
        <v>71</v>
      </c>
      <c r="C55" s="79">
        <f>+'Inputs Field'!D43</f>
        <v>10</v>
      </c>
      <c r="D55" s="34">
        <f>+'Inputs Field'!F43</f>
        <v>1</v>
      </c>
      <c r="E55" s="34">
        <f>+C55*D55*'Assumptions &amp; Costs'!E$76*(1+'Assumptions &amp; Costs'!C$81)</f>
        <v>57.474999999999994</v>
      </c>
      <c r="F55" s="123">
        <f t="shared" si="20"/>
        <v>0</v>
      </c>
      <c r="G55" s="123">
        <f t="shared" si="20"/>
        <v>28737.499999999996</v>
      </c>
      <c r="H55" s="123">
        <f t="shared" si="20"/>
        <v>0</v>
      </c>
      <c r="I55" s="123">
        <f t="shared" si="20"/>
        <v>0</v>
      </c>
      <c r="J55" s="123">
        <f t="shared" si="20"/>
        <v>0</v>
      </c>
      <c r="K55" s="123">
        <f t="shared" si="20"/>
        <v>0</v>
      </c>
      <c r="L55" s="123">
        <f t="shared" si="20"/>
        <v>0</v>
      </c>
      <c r="M55" s="123">
        <f t="shared" si="20"/>
        <v>0</v>
      </c>
      <c r="N55" s="123">
        <f t="shared" si="20"/>
        <v>0</v>
      </c>
      <c r="O55" s="123">
        <f t="shared" si="20"/>
        <v>0</v>
      </c>
      <c r="P55" s="123">
        <f t="shared" si="20"/>
        <v>0</v>
      </c>
      <c r="Q55" s="123">
        <f t="shared" si="20"/>
        <v>0</v>
      </c>
      <c r="R55" s="123">
        <f t="shared" si="20"/>
        <v>0</v>
      </c>
      <c r="S55" s="123">
        <f t="shared" si="20"/>
        <v>0</v>
      </c>
      <c r="T55" s="123">
        <f t="shared" si="20"/>
        <v>0</v>
      </c>
      <c r="U55" s="123">
        <f t="shared" si="20"/>
        <v>0</v>
      </c>
      <c r="V55" s="123">
        <f t="shared" si="21"/>
        <v>0</v>
      </c>
      <c r="W55" s="123">
        <f t="shared" si="21"/>
        <v>0</v>
      </c>
      <c r="X55" s="123">
        <f t="shared" si="21"/>
        <v>0</v>
      </c>
      <c r="Y55" s="123">
        <f t="shared" si="21"/>
        <v>0</v>
      </c>
    </row>
    <row r="56" spans="2:25" x14ac:dyDescent="0.2">
      <c r="B56" s="129" t="s">
        <v>68</v>
      </c>
      <c r="C56" s="79">
        <f>+'Inputs Field'!D47</f>
        <v>6</v>
      </c>
      <c r="D56" s="34">
        <f>+'Inputs Field'!F47</f>
        <v>6</v>
      </c>
      <c r="E56" s="34">
        <f>+C56*D56*'Assumptions &amp; Costs'!E$76*(1+'Assumptions &amp; Costs'!C$81)</f>
        <v>206.91</v>
      </c>
      <c r="F56" s="123">
        <f t="shared" si="20"/>
        <v>0</v>
      </c>
      <c r="G56" s="123">
        <f t="shared" si="20"/>
        <v>103455</v>
      </c>
      <c r="H56" s="123">
        <f t="shared" si="20"/>
        <v>0</v>
      </c>
      <c r="I56" s="123">
        <f t="shared" si="20"/>
        <v>0</v>
      </c>
      <c r="J56" s="123">
        <f t="shared" si="20"/>
        <v>0</v>
      </c>
      <c r="K56" s="123">
        <f t="shared" si="20"/>
        <v>0</v>
      </c>
      <c r="L56" s="123">
        <f t="shared" si="20"/>
        <v>0</v>
      </c>
      <c r="M56" s="123">
        <f t="shared" si="20"/>
        <v>0</v>
      </c>
      <c r="N56" s="123">
        <f t="shared" si="20"/>
        <v>0</v>
      </c>
      <c r="O56" s="123">
        <f t="shared" si="20"/>
        <v>0</v>
      </c>
      <c r="P56" s="123">
        <f t="shared" si="20"/>
        <v>0</v>
      </c>
      <c r="Q56" s="123">
        <f t="shared" si="20"/>
        <v>0</v>
      </c>
      <c r="R56" s="123">
        <f t="shared" si="20"/>
        <v>0</v>
      </c>
      <c r="S56" s="123">
        <f t="shared" si="20"/>
        <v>0</v>
      </c>
      <c r="T56" s="123">
        <f t="shared" si="20"/>
        <v>0</v>
      </c>
      <c r="U56" s="123">
        <f t="shared" si="20"/>
        <v>0</v>
      </c>
      <c r="V56" s="123">
        <f t="shared" si="21"/>
        <v>0</v>
      </c>
      <c r="W56" s="123">
        <f t="shared" si="21"/>
        <v>0</v>
      </c>
      <c r="X56" s="123">
        <f t="shared" si="21"/>
        <v>0</v>
      </c>
      <c r="Y56" s="123">
        <f t="shared" si="21"/>
        <v>0</v>
      </c>
    </row>
    <row r="57" spans="2:25" x14ac:dyDescent="0.2">
      <c r="B57" s="129" t="s">
        <v>24</v>
      </c>
      <c r="C57" s="79">
        <f>+'Inputs Field'!D48</f>
        <v>0.5</v>
      </c>
      <c r="D57" s="34">
        <f>+'Inputs Field'!F48</f>
        <v>6</v>
      </c>
      <c r="E57" s="34">
        <f>+C57*D57*'Assumptions &amp; Costs'!E$75*(1+'Assumptions &amp; Costs'!C$81)</f>
        <v>18.809999999999999</v>
      </c>
      <c r="F57" s="123">
        <f t="shared" si="20"/>
        <v>0</v>
      </c>
      <c r="G57" s="123">
        <f t="shared" si="20"/>
        <v>9405</v>
      </c>
      <c r="H57" s="123">
        <f t="shared" si="20"/>
        <v>0</v>
      </c>
      <c r="I57" s="123">
        <f t="shared" si="20"/>
        <v>0</v>
      </c>
      <c r="J57" s="123">
        <f t="shared" si="20"/>
        <v>0</v>
      </c>
      <c r="K57" s="123">
        <f t="shared" si="20"/>
        <v>0</v>
      </c>
      <c r="L57" s="123">
        <f t="shared" si="20"/>
        <v>0</v>
      </c>
      <c r="M57" s="123">
        <f t="shared" si="20"/>
        <v>0</v>
      </c>
      <c r="N57" s="123">
        <f t="shared" si="20"/>
        <v>0</v>
      </c>
      <c r="O57" s="123">
        <f t="shared" si="20"/>
        <v>0</v>
      </c>
      <c r="P57" s="123">
        <f t="shared" si="20"/>
        <v>0</v>
      </c>
      <c r="Q57" s="123">
        <f t="shared" si="20"/>
        <v>0</v>
      </c>
      <c r="R57" s="123">
        <f t="shared" si="20"/>
        <v>0</v>
      </c>
      <c r="S57" s="123">
        <f t="shared" si="20"/>
        <v>0</v>
      </c>
      <c r="T57" s="123">
        <f t="shared" si="20"/>
        <v>0</v>
      </c>
      <c r="U57" s="123">
        <f t="shared" si="20"/>
        <v>0</v>
      </c>
      <c r="V57" s="123">
        <f t="shared" si="21"/>
        <v>0</v>
      </c>
      <c r="W57" s="123">
        <f t="shared" si="21"/>
        <v>0</v>
      </c>
      <c r="X57" s="123">
        <f t="shared" si="21"/>
        <v>0</v>
      </c>
      <c r="Y57" s="123">
        <f t="shared" si="21"/>
        <v>0</v>
      </c>
    </row>
    <row r="58" spans="2:25" x14ac:dyDescent="0.2">
      <c r="B58" s="129" t="s">
        <v>23</v>
      </c>
      <c r="C58" s="79">
        <f>+'Inputs Field'!D49</f>
        <v>4</v>
      </c>
      <c r="D58" s="34">
        <f>+'Inputs Field'!F49</f>
        <v>6</v>
      </c>
      <c r="E58" s="34">
        <f>+C58*D58*'Assumptions &amp; Costs'!E$76*(1+'Assumptions &amp; Costs'!C$81)</f>
        <v>137.94</v>
      </c>
      <c r="F58" s="123">
        <f t="shared" si="20"/>
        <v>0</v>
      </c>
      <c r="G58" s="123">
        <f t="shared" si="20"/>
        <v>68970</v>
      </c>
      <c r="H58" s="123">
        <f t="shared" si="20"/>
        <v>0</v>
      </c>
      <c r="I58" s="123">
        <f t="shared" si="20"/>
        <v>0</v>
      </c>
      <c r="J58" s="123">
        <f t="shared" si="20"/>
        <v>0</v>
      </c>
      <c r="K58" s="123">
        <f t="shared" si="20"/>
        <v>0</v>
      </c>
      <c r="L58" s="123">
        <f t="shared" si="20"/>
        <v>0</v>
      </c>
      <c r="M58" s="123">
        <f t="shared" si="20"/>
        <v>0</v>
      </c>
      <c r="N58" s="123">
        <f t="shared" si="20"/>
        <v>0</v>
      </c>
      <c r="O58" s="123">
        <f t="shared" si="20"/>
        <v>0</v>
      </c>
      <c r="P58" s="123">
        <f t="shared" si="20"/>
        <v>0</v>
      </c>
      <c r="Q58" s="123">
        <f t="shared" si="20"/>
        <v>0</v>
      </c>
      <c r="R58" s="123">
        <f t="shared" si="20"/>
        <v>0</v>
      </c>
      <c r="S58" s="123">
        <f t="shared" si="20"/>
        <v>0</v>
      </c>
      <c r="T58" s="123">
        <f t="shared" si="20"/>
        <v>0</v>
      </c>
      <c r="U58" s="123">
        <f t="shared" si="20"/>
        <v>0</v>
      </c>
      <c r="V58" s="123">
        <f t="shared" si="21"/>
        <v>0</v>
      </c>
      <c r="W58" s="123">
        <f t="shared" si="21"/>
        <v>0</v>
      </c>
      <c r="X58" s="123">
        <f t="shared" si="21"/>
        <v>0</v>
      </c>
      <c r="Y58" s="123">
        <f t="shared" si="21"/>
        <v>0</v>
      </c>
    </row>
    <row r="59" spans="2:25" x14ac:dyDescent="0.2">
      <c r="B59" s="129" t="s">
        <v>13</v>
      </c>
      <c r="C59" s="79">
        <f>+'Inputs Field'!D50</f>
        <v>1</v>
      </c>
      <c r="D59" s="34">
        <f>+'Inputs Field'!F50</f>
        <v>2</v>
      </c>
      <c r="E59" s="34">
        <f>+C59*D59*'Assumptions &amp; Costs'!E$76*(1+'Assumptions &amp; Costs'!C$81)</f>
        <v>11.494999999999999</v>
      </c>
      <c r="F59" s="123">
        <f t="shared" si="20"/>
        <v>0</v>
      </c>
      <c r="G59" s="123">
        <f t="shared" si="20"/>
        <v>5747.5</v>
      </c>
      <c r="H59" s="123">
        <f t="shared" si="20"/>
        <v>0</v>
      </c>
      <c r="I59" s="123">
        <f t="shared" si="20"/>
        <v>0</v>
      </c>
      <c r="J59" s="123">
        <f t="shared" si="20"/>
        <v>0</v>
      </c>
      <c r="K59" s="123">
        <f t="shared" si="20"/>
        <v>0</v>
      </c>
      <c r="L59" s="123">
        <f t="shared" si="20"/>
        <v>0</v>
      </c>
      <c r="M59" s="123">
        <f t="shared" si="20"/>
        <v>0</v>
      </c>
      <c r="N59" s="123">
        <f t="shared" si="20"/>
        <v>0</v>
      </c>
      <c r="O59" s="123">
        <f t="shared" si="20"/>
        <v>0</v>
      </c>
      <c r="P59" s="123">
        <f t="shared" si="20"/>
        <v>0</v>
      </c>
      <c r="Q59" s="123">
        <f t="shared" si="20"/>
        <v>0</v>
      </c>
      <c r="R59" s="123">
        <f t="shared" si="20"/>
        <v>0</v>
      </c>
      <c r="S59" s="123">
        <f t="shared" si="20"/>
        <v>0</v>
      </c>
      <c r="T59" s="123">
        <f t="shared" si="20"/>
        <v>0</v>
      </c>
      <c r="U59" s="123">
        <f t="shared" si="20"/>
        <v>0</v>
      </c>
      <c r="V59" s="123">
        <f t="shared" si="21"/>
        <v>0</v>
      </c>
      <c r="W59" s="123">
        <f t="shared" si="21"/>
        <v>0</v>
      </c>
      <c r="X59" s="123">
        <f t="shared" si="21"/>
        <v>0</v>
      </c>
      <c r="Y59" s="123">
        <f t="shared" si="21"/>
        <v>0</v>
      </c>
    </row>
    <row r="60" spans="2:25" x14ac:dyDescent="0.2">
      <c r="B60" s="129" t="s">
        <v>33</v>
      </c>
      <c r="C60" s="79">
        <f>+'Inputs Field'!D51</f>
        <v>1</v>
      </c>
      <c r="D60" s="34">
        <f>+'Inputs Field'!F51</f>
        <v>1</v>
      </c>
      <c r="E60" s="34">
        <f>+C60*D60*'Assumptions &amp; Costs'!E$76*(1+'Assumptions &amp; Costs'!C$81)</f>
        <v>5.7474999999999996</v>
      </c>
      <c r="F60" s="123">
        <f t="shared" si="20"/>
        <v>0</v>
      </c>
      <c r="G60" s="123">
        <f t="shared" si="20"/>
        <v>2873.75</v>
      </c>
      <c r="H60" s="123">
        <f t="shared" si="20"/>
        <v>0</v>
      </c>
      <c r="I60" s="123">
        <f t="shared" si="20"/>
        <v>0</v>
      </c>
      <c r="J60" s="123">
        <f t="shared" si="20"/>
        <v>0</v>
      </c>
      <c r="K60" s="123">
        <f t="shared" si="20"/>
        <v>0</v>
      </c>
      <c r="L60" s="123">
        <f t="shared" si="20"/>
        <v>0</v>
      </c>
      <c r="M60" s="123">
        <f t="shared" si="20"/>
        <v>0</v>
      </c>
      <c r="N60" s="123">
        <f t="shared" si="20"/>
        <v>0</v>
      </c>
      <c r="O60" s="123">
        <f t="shared" si="20"/>
        <v>0</v>
      </c>
      <c r="P60" s="123">
        <f t="shared" si="20"/>
        <v>0</v>
      </c>
      <c r="Q60" s="123">
        <f t="shared" si="20"/>
        <v>0</v>
      </c>
      <c r="R60" s="123">
        <f t="shared" si="20"/>
        <v>0</v>
      </c>
      <c r="S60" s="123">
        <f t="shared" si="20"/>
        <v>0</v>
      </c>
      <c r="T60" s="123">
        <f t="shared" si="20"/>
        <v>0</v>
      </c>
      <c r="U60" s="123">
        <f t="shared" si="20"/>
        <v>0</v>
      </c>
      <c r="V60" s="123">
        <f t="shared" si="21"/>
        <v>0</v>
      </c>
      <c r="W60" s="123">
        <f t="shared" si="21"/>
        <v>0</v>
      </c>
      <c r="X60" s="123">
        <f t="shared" si="21"/>
        <v>0</v>
      </c>
      <c r="Y60" s="123">
        <f t="shared" si="21"/>
        <v>0</v>
      </c>
    </row>
    <row r="61" spans="2:25" x14ac:dyDescent="0.2">
      <c r="B61" s="129" t="s">
        <v>25</v>
      </c>
      <c r="C61" s="79">
        <f>+'Inputs Field'!D52</f>
        <v>5</v>
      </c>
      <c r="D61" s="34">
        <f>+'Inputs Field'!F52</f>
        <v>1</v>
      </c>
      <c r="E61" s="34">
        <f>+C61*D61*'Assumptions &amp; Costs'!E$76*(1+'Assumptions &amp; Costs'!C$81)</f>
        <v>28.737499999999997</v>
      </c>
      <c r="F61" s="123">
        <f t="shared" si="20"/>
        <v>0</v>
      </c>
      <c r="G61" s="123">
        <f t="shared" si="20"/>
        <v>14368.749999999998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  <c r="T61" s="123">
        <f t="shared" si="20"/>
        <v>0</v>
      </c>
      <c r="U61" s="123">
        <f t="shared" si="20"/>
        <v>0</v>
      </c>
      <c r="V61" s="123">
        <f t="shared" si="21"/>
        <v>0</v>
      </c>
      <c r="W61" s="123">
        <f t="shared" si="21"/>
        <v>0</v>
      </c>
      <c r="X61" s="123">
        <f t="shared" si="21"/>
        <v>0</v>
      </c>
      <c r="Y61" s="123">
        <f t="shared" si="21"/>
        <v>0</v>
      </c>
    </row>
    <row r="62" spans="2:25" x14ac:dyDescent="0.2">
      <c r="B62" s="129" t="s">
        <v>26</v>
      </c>
      <c r="C62" s="79">
        <f>+'Inputs Field'!D53</f>
        <v>16.3</v>
      </c>
      <c r="D62" s="34">
        <f>+'Inputs Field'!F53</f>
        <v>1</v>
      </c>
      <c r="E62" s="34">
        <f>+C62*D62*'Assumptions &amp; Costs'!E$76*(1+'Assumptions &amp; Costs'!C$81)</f>
        <v>93.684250000000006</v>
      </c>
      <c r="F62" s="123">
        <f t="shared" si="20"/>
        <v>0</v>
      </c>
      <c r="G62" s="123">
        <f t="shared" si="20"/>
        <v>46842.125</v>
      </c>
      <c r="H62" s="123">
        <f t="shared" si="20"/>
        <v>0</v>
      </c>
      <c r="I62" s="123">
        <f t="shared" si="20"/>
        <v>0</v>
      </c>
      <c r="J62" s="123">
        <f t="shared" si="20"/>
        <v>0</v>
      </c>
      <c r="K62" s="123">
        <f t="shared" si="20"/>
        <v>0</v>
      </c>
      <c r="L62" s="123">
        <f t="shared" si="20"/>
        <v>0</v>
      </c>
      <c r="M62" s="123">
        <f t="shared" si="20"/>
        <v>0</v>
      </c>
      <c r="N62" s="123">
        <f t="shared" si="20"/>
        <v>0</v>
      </c>
      <c r="O62" s="123">
        <f t="shared" si="20"/>
        <v>0</v>
      </c>
      <c r="P62" s="123">
        <f t="shared" si="20"/>
        <v>0</v>
      </c>
      <c r="Q62" s="123">
        <f t="shared" si="20"/>
        <v>0</v>
      </c>
      <c r="R62" s="123">
        <f t="shared" si="20"/>
        <v>0</v>
      </c>
      <c r="S62" s="123">
        <f t="shared" si="20"/>
        <v>0</v>
      </c>
      <c r="T62" s="123">
        <f t="shared" si="20"/>
        <v>0</v>
      </c>
      <c r="U62" s="123">
        <f t="shared" si="20"/>
        <v>0</v>
      </c>
      <c r="V62" s="123">
        <f t="shared" si="21"/>
        <v>0</v>
      </c>
      <c r="W62" s="123">
        <f t="shared" si="21"/>
        <v>0</v>
      </c>
      <c r="X62" s="123">
        <f t="shared" si="21"/>
        <v>0</v>
      </c>
      <c r="Y62" s="123">
        <f t="shared" si="21"/>
        <v>0</v>
      </c>
    </row>
    <row r="63" spans="2:25" x14ac:dyDescent="0.2">
      <c r="B63" s="129" t="s">
        <v>31</v>
      </c>
      <c r="C63" s="79">
        <f>+'Inputs Field'!D54</f>
        <v>5</v>
      </c>
      <c r="D63" s="34">
        <f>+'Inputs Field'!F54</f>
        <v>1</v>
      </c>
      <c r="E63" s="34">
        <f>+C63*D63*'Assumptions &amp; Costs'!E$76*(1+'Assumptions &amp; Costs'!C$81)</f>
        <v>28.737499999999997</v>
      </c>
      <c r="F63" s="123">
        <f t="shared" si="20"/>
        <v>0</v>
      </c>
      <c r="G63" s="123">
        <f t="shared" si="20"/>
        <v>14368.749999999998</v>
      </c>
      <c r="H63" s="123">
        <f t="shared" si="20"/>
        <v>0</v>
      </c>
      <c r="I63" s="123">
        <f t="shared" si="20"/>
        <v>0</v>
      </c>
      <c r="J63" s="123">
        <f t="shared" si="20"/>
        <v>0</v>
      </c>
      <c r="K63" s="123">
        <f t="shared" si="20"/>
        <v>0</v>
      </c>
      <c r="L63" s="123">
        <f t="shared" si="20"/>
        <v>0</v>
      </c>
      <c r="M63" s="123">
        <f t="shared" si="20"/>
        <v>0</v>
      </c>
      <c r="N63" s="123">
        <f t="shared" si="20"/>
        <v>0</v>
      </c>
      <c r="O63" s="123">
        <f t="shared" si="20"/>
        <v>0</v>
      </c>
      <c r="P63" s="123">
        <f t="shared" si="20"/>
        <v>0</v>
      </c>
      <c r="Q63" s="123">
        <f t="shared" si="20"/>
        <v>0</v>
      </c>
      <c r="R63" s="123">
        <f t="shared" si="20"/>
        <v>0</v>
      </c>
      <c r="S63" s="123">
        <f t="shared" si="20"/>
        <v>0</v>
      </c>
      <c r="T63" s="123">
        <f t="shared" si="20"/>
        <v>0</v>
      </c>
      <c r="U63" s="123">
        <f t="shared" si="20"/>
        <v>0</v>
      </c>
      <c r="V63" s="123">
        <f t="shared" si="21"/>
        <v>0</v>
      </c>
      <c r="W63" s="123">
        <f t="shared" si="21"/>
        <v>0</v>
      </c>
      <c r="X63" s="123">
        <f t="shared" si="21"/>
        <v>0</v>
      </c>
      <c r="Y63" s="123">
        <f t="shared" si="21"/>
        <v>0</v>
      </c>
    </row>
    <row r="64" spans="2:25" x14ac:dyDescent="0.2">
      <c r="B64" s="129" t="s">
        <v>58</v>
      </c>
      <c r="C64" s="79">
        <f>+'Inputs Field'!D55</f>
        <v>5</v>
      </c>
      <c r="D64" s="34">
        <f>+'Inputs Field'!F55</f>
        <v>1</v>
      </c>
      <c r="E64" s="34">
        <f>+C64*D64*'Assumptions &amp; Costs'!E$76*(1+'Assumptions &amp; Costs'!C$81)</f>
        <v>28.737499999999997</v>
      </c>
      <c r="F64" s="123">
        <f t="shared" si="20"/>
        <v>0</v>
      </c>
      <c r="G64" s="123">
        <f t="shared" si="20"/>
        <v>14368.749999999998</v>
      </c>
      <c r="H64" s="123">
        <f t="shared" si="20"/>
        <v>0</v>
      </c>
      <c r="I64" s="123">
        <f t="shared" si="20"/>
        <v>0</v>
      </c>
      <c r="J64" s="123">
        <f t="shared" si="20"/>
        <v>0</v>
      </c>
      <c r="K64" s="123">
        <f t="shared" si="20"/>
        <v>0</v>
      </c>
      <c r="L64" s="123">
        <f t="shared" si="20"/>
        <v>0</v>
      </c>
      <c r="M64" s="123">
        <f t="shared" si="20"/>
        <v>0</v>
      </c>
      <c r="N64" s="123">
        <f t="shared" si="20"/>
        <v>0</v>
      </c>
      <c r="O64" s="123">
        <f t="shared" si="20"/>
        <v>0</v>
      </c>
      <c r="P64" s="123">
        <f t="shared" si="20"/>
        <v>0</v>
      </c>
      <c r="Q64" s="123">
        <f t="shared" si="20"/>
        <v>0</v>
      </c>
      <c r="R64" s="123">
        <f t="shared" si="20"/>
        <v>0</v>
      </c>
      <c r="S64" s="123">
        <f t="shared" si="20"/>
        <v>0</v>
      </c>
      <c r="T64" s="123">
        <f t="shared" si="20"/>
        <v>0</v>
      </c>
      <c r="U64" s="123">
        <f t="shared" si="20"/>
        <v>0</v>
      </c>
      <c r="V64" s="123">
        <f t="shared" si="21"/>
        <v>0</v>
      </c>
      <c r="W64" s="123">
        <f t="shared" si="21"/>
        <v>0</v>
      </c>
      <c r="X64" s="123">
        <f t="shared" si="21"/>
        <v>0</v>
      </c>
      <c r="Y64" s="123">
        <f t="shared" si="21"/>
        <v>0</v>
      </c>
    </row>
    <row r="65" spans="2:25" x14ac:dyDescent="0.2">
      <c r="B65" s="129" t="s">
        <v>46</v>
      </c>
      <c r="C65" s="76">
        <f>+'Inputs Field'!D58</f>
        <v>0.1</v>
      </c>
      <c r="D65" s="123"/>
      <c r="E65" s="34">
        <f>SUMPRODUCT(C$50:C$64,D$50:D$64)*C65*'Assumptions &amp; Costs'!E78*(1+'Assumptions &amp; Costs'!C$81)</f>
        <v>98.203874999999996</v>
      </c>
      <c r="F65" s="123">
        <f t="shared" si="20"/>
        <v>0</v>
      </c>
      <c r="G65" s="123">
        <f t="shared" si="20"/>
        <v>49101.9375</v>
      </c>
      <c r="H65" s="123">
        <f t="shared" si="20"/>
        <v>0</v>
      </c>
      <c r="I65" s="123">
        <f t="shared" si="20"/>
        <v>0</v>
      </c>
      <c r="J65" s="123">
        <f t="shared" si="20"/>
        <v>0</v>
      </c>
      <c r="K65" s="123">
        <f t="shared" si="20"/>
        <v>0</v>
      </c>
      <c r="L65" s="123">
        <f t="shared" si="20"/>
        <v>0</v>
      </c>
      <c r="M65" s="123">
        <f t="shared" si="20"/>
        <v>0</v>
      </c>
      <c r="N65" s="123">
        <f t="shared" si="20"/>
        <v>0</v>
      </c>
      <c r="O65" s="123">
        <f t="shared" si="20"/>
        <v>0</v>
      </c>
      <c r="P65" s="123">
        <f t="shared" si="20"/>
        <v>0</v>
      </c>
      <c r="Q65" s="123">
        <f t="shared" si="20"/>
        <v>0</v>
      </c>
      <c r="R65" s="123">
        <f t="shared" si="20"/>
        <v>0</v>
      </c>
      <c r="S65" s="123">
        <f t="shared" si="20"/>
        <v>0</v>
      </c>
      <c r="T65" s="123">
        <f t="shared" si="20"/>
        <v>0</v>
      </c>
      <c r="U65" s="123">
        <f t="shared" ref="U65" si="22">+$E65*U$18</f>
        <v>0</v>
      </c>
      <c r="V65" s="123">
        <f t="shared" si="21"/>
        <v>0</v>
      </c>
      <c r="W65" s="123">
        <f t="shared" si="21"/>
        <v>0</v>
      </c>
      <c r="X65" s="123">
        <f t="shared" si="21"/>
        <v>0</v>
      </c>
      <c r="Y65" s="123">
        <f t="shared" si="21"/>
        <v>0</v>
      </c>
    </row>
    <row r="66" spans="2:25" x14ac:dyDescent="0.2">
      <c r="B66" s="129" t="s">
        <v>47</v>
      </c>
      <c r="C66" s="76">
        <f>+'Inputs Field'!D59</f>
        <v>0.05</v>
      </c>
      <c r="D66" s="123"/>
      <c r="E66" s="34">
        <f>SUMPRODUCT(C$50:C$64,D$50:D$64)*C66*'Assumptions &amp; Costs'!E79*(1+'Assumptions &amp; Costs'!C$81)</f>
        <v>188.85360576923077</v>
      </c>
      <c r="F66" s="123">
        <f t="shared" ref="F66:U66" si="23">+$E66*F$18</f>
        <v>0</v>
      </c>
      <c r="G66" s="123">
        <f t="shared" si="23"/>
        <v>94426.80288461539</v>
      </c>
      <c r="H66" s="123">
        <f t="shared" si="23"/>
        <v>0</v>
      </c>
      <c r="I66" s="123">
        <f t="shared" si="23"/>
        <v>0</v>
      </c>
      <c r="J66" s="123">
        <f t="shared" si="23"/>
        <v>0</v>
      </c>
      <c r="K66" s="123">
        <f t="shared" si="23"/>
        <v>0</v>
      </c>
      <c r="L66" s="123">
        <f t="shared" si="23"/>
        <v>0</v>
      </c>
      <c r="M66" s="123">
        <f t="shared" si="23"/>
        <v>0</v>
      </c>
      <c r="N66" s="123">
        <f t="shared" si="23"/>
        <v>0</v>
      </c>
      <c r="O66" s="123">
        <f t="shared" si="23"/>
        <v>0</v>
      </c>
      <c r="P66" s="123">
        <f t="shared" si="23"/>
        <v>0</v>
      </c>
      <c r="Q66" s="123">
        <f t="shared" si="23"/>
        <v>0</v>
      </c>
      <c r="R66" s="123">
        <f t="shared" si="23"/>
        <v>0</v>
      </c>
      <c r="S66" s="123">
        <f t="shared" si="23"/>
        <v>0</v>
      </c>
      <c r="T66" s="123">
        <f t="shared" si="23"/>
        <v>0</v>
      </c>
      <c r="U66" s="123">
        <f t="shared" si="23"/>
        <v>0</v>
      </c>
      <c r="V66" s="123">
        <f t="shared" ref="V66:Y66" si="24">+$E66*V$18</f>
        <v>0</v>
      </c>
      <c r="W66" s="123">
        <f t="shared" si="24"/>
        <v>0</v>
      </c>
      <c r="X66" s="123">
        <f t="shared" si="24"/>
        <v>0</v>
      </c>
      <c r="Y66" s="123">
        <f t="shared" si="24"/>
        <v>0</v>
      </c>
    </row>
    <row r="67" spans="2:25" x14ac:dyDescent="0.2">
      <c r="B67" s="1" t="s">
        <v>1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</row>
    <row r="68" spans="2:25" x14ac:dyDescent="0.2">
      <c r="B68" s="129" t="s">
        <v>461</v>
      </c>
      <c r="C68" s="34">
        <f>+'Inputs Field'!F36</f>
        <v>1</v>
      </c>
      <c r="D68" s="123"/>
      <c r="E68" s="34">
        <f>+C68*'Assumptions &amp; Costs'!C73</f>
        <v>100</v>
      </c>
      <c r="F68" s="123">
        <f t="shared" ref="F68:U76" si="25">+$E68*F$18</f>
        <v>0</v>
      </c>
      <c r="G68" s="123">
        <f t="shared" si="25"/>
        <v>50000</v>
      </c>
      <c r="H68" s="123">
        <f t="shared" si="25"/>
        <v>0</v>
      </c>
      <c r="I68" s="123">
        <f t="shared" si="25"/>
        <v>0</v>
      </c>
      <c r="J68" s="123">
        <f t="shared" si="25"/>
        <v>0</v>
      </c>
      <c r="K68" s="123">
        <f t="shared" si="25"/>
        <v>0</v>
      </c>
      <c r="L68" s="123">
        <f t="shared" si="25"/>
        <v>0</v>
      </c>
      <c r="M68" s="123">
        <f t="shared" si="25"/>
        <v>0</v>
      </c>
      <c r="N68" s="123">
        <f t="shared" si="25"/>
        <v>0</v>
      </c>
      <c r="O68" s="123">
        <f t="shared" si="25"/>
        <v>0</v>
      </c>
      <c r="P68" s="123">
        <f t="shared" si="25"/>
        <v>0</v>
      </c>
      <c r="Q68" s="123">
        <f t="shared" si="25"/>
        <v>0</v>
      </c>
      <c r="R68" s="123">
        <f t="shared" si="25"/>
        <v>0</v>
      </c>
      <c r="S68" s="123">
        <f t="shared" si="25"/>
        <v>0</v>
      </c>
      <c r="T68" s="123">
        <f t="shared" si="25"/>
        <v>0</v>
      </c>
      <c r="U68" s="123">
        <f t="shared" si="25"/>
        <v>0</v>
      </c>
      <c r="V68" s="123">
        <f t="shared" ref="V68:Y68" si="26">+$E68*V$18</f>
        <v>0</v>
      </c>
      <c r="W68" s="123">
        <f t="shared" si="26"/>
        <v>0</v>
      </c>
      <c r="X68" s="123">
        <f t="shared" si="26"/>
        <v>0</v>
      </c>
      <c r="Y68" s="123">
        <f t="shared" si="26"/>
        <v>0</v>
      </c>
    </row>
    <row r="69" spans="2:25" x14ac:dyDescent="0.2">
      <c r="B69" s="129" t="s">
        <v>462</v>
      </c>
      <c r="C69" s="34">
        <f>+'Inputs Field'!H41</f>
        <v>9</v>
      </c>
      <c r="D69" s="34">
        <f>+'Inputs Field'!F41</f>
        <v>1</v>
      </c>
      <c r="E69" s="34">
        <f>+D69*C69*'Assumptions &amp; Costs'!C64</f>
        <v>45</v>
      </c>
      <c r="F69" s="123">
        <f t="shared" si="25"/>
        <v>0</v>
      </c>
      <c r="G69" s="123">
        <f t="shared" si="25"/>
        <v>22500</v>
      </c>
      <c r="H69" s="123">
        <f t="shared" si="25"/>
        <v>0</v>
      </c>
      <c r="I69" s="123">
        <f t="shared" si="25"/>
        <v>0</v>
      </c>
      <c r="J69" s="123">
        <f t="shared" si="25"/>
        <v>0</v>
      </c>
      <c r="K69" s="123">
        <f t="shared" si="25"/>
        <v>0</v>
      </c>
      <c r="L69" s="123">
        <f t="shared" si="25"/>
        <v>0</v>
      </c>
      <c r="M69" s="123">
        <f t="shared" si="25"/>
        <v>0</v>
      </c>
      <c r="N69" s="123">
        <f t="shared" si="25"/>
        <v>0</v>
      </c>
      <c r="O69" s="123">
        <f t="shared" si="25"/>
        <v>0</v>
      </c>
      <c r="P69" s="123">
        <f t="shared" si="25"/>
        <v>0</v>
      </c>
      <c r="Q69" s="123">
        <f t="shared" si="25"/>
        <v>0</v>
      </c>
      <c r="R69" s="123">
        <f t="shared" si="25"/>
        <v>0</v>
      </c>
      <c r="S69" s="123">
        <f t="shared" si="25"/>
        <v>0</v>
      </c>
      <c r="T69" s="123">
        <f t="shared" si="25"/>
        <v>0</v>
      </c>
      <c r="U69" s="123">
        <f t="shared" si="25"/>
        <v>0</v>
      </c>
      <c r="V69" s="123">
        <f t="shared" ref="V69:Y76" si="27">+$E69*V$18</f>
        <v>0</v>
      </c>
      <c r="W69" s="123">
        <f t="shared" si="27"/>
        <v>0</v>
      </c>
      <c r="X69" s="123">
        <f t="shared" si="27"/>
        <v>0</v>
      </c>
      <c r="Y69" s="123">
        <f t="shared" si="27"/>
        <v>0</v>
      </c>
    </row>
    <row r="70" spans="2:25" x14ac:dyDescent="0.2">
      <c r="B70" s="129" t="s">
        <v>21</v>
      </c>
      <c r="C70" s="34">
        <f>+'Inputs Field'!H43</f>
        <v>148.03897499999997</v>
      </c>
      <c r="D70" s="34"/>
      <c r="E70" s="34">
        <f>+Nursery!J72*C70</f>
        <v>622.08332017567693</v>
      </c>
      <c r="F70" s="123">
        <f t="shared" si="25"/>
        <v>0</v>
      </c>
      <c r="G70" s="123">
        <f t="shared" si="25"/>
        <v>311041.66008783848</v>
      </c>
      <c r="H70" s="123">
        <f t="shared" si="25"/>
        <v>0</v>
      </c>
      <c r="I70" s="123">
        <f t="shared" si="25"/>
        <v>0</v>
      </c>
      <c r="J70" s="123">
        <f t="shared" si="25"/>
        <v>0</v>
      </c>
      <c r="K70" s="123">
        <f t="shared" si="25"/>
        <v>0</v>
      </c>
      <c r="L70" s="123">
        <f t="shared" si="25"/>
        <v>0</v>
      </c>
      <c r="M70" s="123">
        <f t="shared" si="25"/>
        <v>0</v>
      </c>
      <c r="N70" s="123">
        <f t="shared" si="25"/>
        <v>0</v>
      </c>
      <c r="O70" s="123">
        <f t="shared" si="25"/>
        <v>0</v>
      </c>
      <c r="P70" s="123">
        <f t="shared" si="25"/>
        <v>0</v>
      </c>
      <c r="Q70" s="123">
        <f t="shared" si="25"/>
        <v>0</v>
      </c>
      <c r="R70" s="123">
        <f t="shared" si="25"/>
        <v>0</v>
      </c>
      <c r="S70" s="123">
        <f t="shared" si="25"/>
        <v>0</v>
      </c>
      <c r="T70" s="123">
        <f t="shared" si="25"/>
        <v>0</v>
      </c>
      <c r="U70" s="123">
        <f t="shared" si="25"/>
        <v>0</v>
      </c>
      <c r="V70" s="123">
        <f t="shared" si="27"/>
        <v>0</v>
      </c>
      <c r="W70" s="123">
        <f t="shared" si="27"/>
        <v>0</v>
      </c>
      <c r="X70" s="123">
        <f t="shared" si="27"/>
        <v>0</v>
      </c>
      <c r="Y70" s="123">
        <f t="shared" si="27"/>
        <v>0</v>
      </c>
    </row>
    <row r="71" spans="2:25" x14ac:dyDescent="0.2">
      <c r="B71" s="129" t="s">
        <v>237</v>
      </c>
      <c r="C71" s="34">
        <f>+'Inputs Field'!H43</f>
        <v>148.03897499999997</v>
      </c>
      <c r="D71" s="123"/>
      <c r="E71" s="34">
        <f>+C71*'Assumptions &amp; Costs'!C66</f>
        <v>74.019487499999983</v>
      </c>
      <c r="F71" s="123">
        <f t="shared" si="25"/>
        <v>0</v>
      </c>
      <c r="G71" s="123">
        <f t="shared" si="25"/>
        <v>37009.743749999994</v>
      </c>
      <c r="H71" s="123">
        <f t="shared" si="25"/>
        <v>0</v>
      </c>
      <c r="I71" s="123">
        <f t="shared" si="25"/>
        <v>0</v>
      </c>
      <c r="J71" s="123">
        <f t="shared" si="25"/>
        <v>0</v>
      </c>
      <c r="K71" s="123">
        <f t="shared" si="25"/>
        <v>0</v>
      </c>
      <c r="L71" s="123">
        <f t="shared" si="25"/>
        <v>0</v>
      </c>
      <c r="M71" s="123">
        <f t="shared" si="25"/>
        <v>0</v>
      </c>
      <c r="N71" s="123">
        <f t="shared" si="25"/>
        <v>0</v>
      </c>
      <c r="O71" s="123">
        <f t="shared" si="25"/>
        <v>0</v>
      </c>
      <c r="P71" s="123">
        <f t="shared" si="25"/>
        <v>0</v>
      </c>
      <c r="Q71" s="123">
        <f t="shared" si="25"/>
        <v>0</v>
      </c>
      <c r="R71" s="123">
        <f t="shared" si="25"/>
        <v>0</v>
      </c>
      <c r="S71" s="123">
        <f t="shared" si="25"/>
        <v>0</v>
      </c>
      <c r="T71" s="123">
        <f t="shared" si="25"/>
        <v>0</v>
      </c>
      <c r="U71" s="123">
        <f t="shared" si="25"/>
        <v>0</v>
      </c>
      <c r="V71" s="123">
        <f t="shared" si="27"/>
        <v>0</v>
      </c>
      <c r="W71" s="123">
        <f t="shared" si="27"/>
        <v>0</v>
      </c>
      <c r="X71" s="123">
        <f t="shared" si="27"/>
        <v>0</v>
      </c>
      <c r="Y71" s="123">
        <f t="shared" si="27"/>
        <v>0</v>
      </c>
    </row>
    <row r="72" spans="2:25" x14ac:dyDescent="0.2">
      <c r="B72" s="129" t="s">
        <v>463</v>
      </c>
      <c r="C72" s="78">
        <f>+'Inputs Field'!H45</f>
        <v>0.5</v>
      </c>
      <c r="D72" s="123"/>
      <c r="E72" s="34">
        <f>+C72*C71*('Assumptions &amp; Costs'!C71+'Assumptions &amp; Costs'!C72)/1000</f>
        <v>34.011954506249992</v>
      </c>
      <c r="F72" s="123">
        <f t="shared" si="25"/>
        <v>0</v>
      </c>
      <c r="G72" s="123">
        <f t="shared" si="25"/>
        <v>17005.977253124995</v>
      </c>
      <c r="H72" s="123">
        <f t="shared" si="25"/>
        <v>0</v>
      </c>
      <c r="I72" s="123">
        <f t="shared" si="25"/>
        <v>0</v>
      </c>
      <c r="J72" s="123">
        <f t="shared" si="25"/>
        <v>0</v>
      </c>
      <c r="K72" s="123">
        <f t="shared" si="25"/>
        <v>0</v>
      </c>
      <c r="L72" s="123">
        <f t="shared" si="25"/>
        <v>0</v>
      </c>
      <c r="M72" s="123">
        <f t="shared" si="25"/>
        <v>0</v>
      </c>
      <c r="N72" s="123">
        <f t="shared" si="25"/>
        <v>0</v>
      </c>
      <c r="O72" s="123">
        <f t="shared" si="25"/>
        <v>0</v>
      </c>
      <c r="P72" s="123">
        <f t="shared" si="25"/>
        <v>0</v>
      </c>
      <c r="Q72" s="123">
        <f t="shared" si="25"/>
        <v>0</v>
      </c>
      <c r="R72" s="123">
        <f t="shared" si="25"/>
        <v>0</v>
      </c>
      <c r="S72" s="123">
        <f t="shared" si="25"/>
        <v>0</v>
      </c>
      <c r="T72" s="123">
        <f t="shared" si="25"/>
        <v>0</v>
      </c>
      <c r="U72" s="123">
        <f t="shared" si="25"/>
        <v>0</v>
      </c>
      <c r="V72" s="123">
        <f t="shared" si="27"/>
        <v>0</v>
      </c>
      <c r="W72" s="123">
        <f t="shared" si="27"/>
        <v>0</v>
      </c>
      <c r="X72" s="123">
        <f t="shared" si="27"/>
        <v>0</v>
      </c>
      <c r="Y72" s="123">
        <f t="shared" si="27"/>
        <v>0</v>
      </c>
    </row>
    <row r="73" spans="2:25" x14ac:dyDescent="0.2">
      <c r="B73" s="129" t="s">
        <v>464</v>
      </c>
      <c r="C73" s="78">
        <f>+'Inputs Field'!H46</f>
        <v>0.4</v>
      </c>
      <c r="D73" s="123"/>
      <c r="E73" s="34">
        <f>+C73*C71*('Assumptions &amp; Costs'!C67+'Assumptions &amp; Costs'!C72)/1000</f>
        <v>124.32313120499998</v>
      </c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</row>
    <row r="74" spans="2:25" x14ac:dyDescent="0.2">
      <c r="B74" s="129" t="s">
        <v>239</v>
      </c>
      <c r="C74" s="34">
        <f>+'Inputs Field'!H48</f>
        <v>1</v>
      </c>
      <c r="D74" s="34">
        <f>+'Inputs Field'!F48</f>
        <v>6</v>
      </c>
      <c r="E74" s="34">
        <f>+C74*D74*'Assumptions &amp; Costs'!C65</f>
        <v>60</v>
      </c>
      <c r="F74" s="123">
        <f t="shared" si="25"/>
        <v>0</v>
      </c>
      <c r="G74" s="123">
        <f t="shared" si="25"/>
        <v>30000</v>
      </c>
      <c r="H74" s="123">
        <f t="shared" si="25"/>
        <v>0</v>
      </c>
      <c r="I74" s="123">
        <f t="shared" si="25"/>
        <v>0</v>
      </c>
      <c r="J74" s="123">
        <f t="shared" si="25"/>
        <v>0</v>
      </c>
      <c r="K74" s="123">
        <f t="shared" si="25"/>
        <v>0</v>
      </c>
      <c r="L74" s="123">
        <f t="shared" si="25"/>
        <v>0</v>
      </c>
      <c r="M74" s="123">
        <f t="shared" si="25"/>
        <v>0</v>
      </c>
      <c r="N74" s="123">
        <f t="shared" si="25"/>
        <v>0</v>
      </c>
      <c r="O74" s="123">
        <f t="shared" si="25"/>
        <v>0</v>
      </c>
      <c r="P74" s="123">
        <f t="shared" si="25"/>
        <v>0</v>
      </c>
      <c r="Q74" s="123">
        <f t="shared" si="25"/>
        <v>0</v>
      </c>
      <c r="R74" s="123">
        <f t="shared" si="25"/>
        <v>0</v>
      </c>
      <c r="S74" s="123">
        <f t="shared" si="25"/>
        <v>0</v>
      </c>
      <c r="T74" s="123">
        <f t="shared" si="25"/>
        <v>0</v>
      </c>
      <c r="U74" s="123">
        <f t="shared" si="25"/>
        <v>0</v>
      </c>
      <c r="V74" s="123">
        <f t="shared" si="27"/>
        <v>0</v>
      </c>
      <c r="W74" s="123">
        <f t="shared" si="27"/>
        <v>0</v>
      </c>
      <c r="X74" s="123">
        <f t="shared" si="27"/>
        <v>0</v>
      </c>
      <c r="Y74" s="123">
        <f t="shared" si="27"/>
        <v>0</v>
      </c>
    </row>
    <row r="75" spans="2:25" x14ac:dyDescent="0.2">
      <c r="B75" s="129" t="s">
        <v>232</v>
      </c>
      <c r="C75" s="78">
        <f>+'Inputs Field'!H50</f>
        <v>0.15</v>
      </c>
      <c r="D75" s="34">
        <f>+'Inputs Field'!F50</f>
        <v>2</v>
      </c>
      <c r="E75" s="34">
        <f>+(D75*C75*C71)*('Assumptions &amp; Costs'!C68+'Assumptions &amp; Costs'!C72)/1000</f>
        <v>25.248047186249991</v>
      </c>
      <c r="F75" s="123">
        <f t="shared" si="25"/>
        <v>0</v>
      </c>
      <c r="G75" s="123">
        <f t="shared" si="25"/>
        <v>12624.023593124995</v>
      </c>
      <c r="H75" s="123">
        <f t="shared" si="25"/>
        <v>0</v>
      </c>
      <c r="I75" s="123">
        <f t="shared" si="25"/>
        <v>0</v>
      </c>
      <c r="J75" s="123">
        <f t="shared" si="25"/>
        <v>0</v>
      </c>
      <c r="K75" s="123">
        <f t="shared" si="25"/>
        <v>0</v>
      </c>
      <c r="L75" s="123">
        <f t="shared" si="25"/>
        <v>0</v>
      </c>
      <c r="M75" s="123">
        <f t="shared" si="25"/>
        <v>0</v>
      </c>
      <c r="N75" s="123">
        <f t="shared" si="25"/>
        <v>0</v>
      </c>
      <c r="O75" s="123">
        <f t="shared" si="25"/>
        <v>0</v>
      </c>
      <c r="P75" s="123">
        <f t="shared" si="25"/>
        <v>0</v>
      </c>
      <c r="Q75" s="123">
        <f t="shared" si="25"/>
        <v>0</v>
      </c>
      <c r="R75" s="123">
        <f t="shared" si="25"/>
        <v>0</v>
      </c>
      <c r="S75" s="123">
        <f t="shared" si="25"/>
        <v>0</v>
      </c>
      <c r="T75" s="123">
        <f t="shared" si="25"/>
        <v>0</v>
      </c>
      <c r="U75" s="123">
        <f t="shared" si="25"/>
        <v>0</v>
      </c>
      <c r="V75" s="123">
        <f t="shared" si="27"/>
        <v>0</v>
      </c>
      <c r="W75" s="123">
        <f t="shared" si="27"/>
        <v>0</v>
      </c>
      <c r="X75" s="123">
        <f t="shared" si="27"/>
        <v>0</v>
      </c>
      <c r="Y75" s="123">
        <f t="shared" si="27"/>
        <v>0</v>
      </c>
    </row>
    <row r="76" spans="2:25" x14ac:dyDescent="0.2">
      <c r="B76" s="129" t="s">
        <v>240</v>
      </c>
      <c r="C76" s="123"/>
      <c r="D76" s="123"/>
      <c r="E76" s="34">
        <f>+'Inputs Field'!H139</f>
        <v>10</v>
      </c>
      <c r="F76" s="123">
        <f t="shared" si="25"/>
        <v>0</v>
      </c>
      <c r="G76" s="123">
        <f t="shared" si="25"/>
        <v>5000</v>
      </c>
      <c r="H76" s="123">
        <f t="shared" si="25"/>
        <v>0</v>
      </c>
      <c r="I76" s="123">
        <f t="shared" si="25"/>
        <v>0</v>
      </c>
      <c r="J76" s="123">
        <f t="shared" si="25"/>
        <v>0</v>
      </c>
      <c r="K76" s="123">
        <f t="shared" si="25"/>
        <v>0</v>
      </c>
      <c r="L76" s="123">
        <f t="shared" si="25"/>
        <v>0</v>
      </c>
      <c r="M76" s="123">
        <f t="shared" si="25"/>
        <v>0</v>
      </c>
      <c r="N76" s="123">
        <f t="shared" si="25"/>
        <v>0</v>
      </c>
      <c r="O76" s="123">
        <f t="shared" si="25"/>
        <v>0</v>
      </c>
      <c r="P76" s="123">
        <f t="shared" si="25"/>
        <v>0</v>
      </c>
      <c r="Q76" s="123">
        <f t="shared" si="25"/>
        <v>0</v>
      </c>
      <c r="R76" s="123">
        <f t="shared" si="25"/>
        <v>0</v>
      </c>
      <c r="S76" s="123">
        <f t="shared" si="25"/>
        <v>0</v>
      </c>
      <c r="T76" s="123">
        <f t="shared" si="25"/>
        <v>0</v>
      </c>
      <c r="U76" s="123">
        <f t="shared" si="25"/>
        <v>0</v>
      </c>
      <c r="V76" s="123">
        <f t="shared" si="27"/>
        <v>0</v>
      </c>
      <c r="W76" s="123">
        <f t="shared" si="27"/>
        <v>0</v>
      </c>
      <c r="X76" s="123">
        <f t="shared" si="27"/>
        <v>0</v>
      </c>
      <c r="Y76" s="123">
        <f t="shared" si="27"/>
        <v>0</v>
      </c>
    </row>
    <row r="77" spans="2:25" x14ac:dyDescent="0.2">
      <c r="B77" s="1" t="s">
        <v>101</v>
      </c>
      <c r="D77" s="121" t="s">
        <v>60</v>
      </c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</row>
    <row r="78" spans="2:25" x14ac:dyDescent="0.2">
      <c r="B78" s="129" t="s">
        <v>17</v>
      </c>
      <c r="C78" s="129" t="s">
        <v>61</v>
      </c>
      <c r="D78" s="121">
        <f>+'Inputs Field'!K34</f>
        <v>12</v>
      </c>
      <c r="E78" s="34">
        <f>+D78*'Assumptions &amp; Costs'!D84</f>
        <v>1200</v>
      </c>
      <c r="F78" s="123">
        <f t="shared" ref="F78:U85" si="28">+$E78*F$18</f>
        <v>0</v>
      </c>
      <c r="G78" s="123">
        <f t="shared" si="28"/>
        <v>600000</v>
      </c>
      <c r="H78" s="123">
        <f t="shared" si="28"/>
        <v>0</v>
      </c>
      <c r="I78" s="123">
        <f t="shared" si="28"/>
        <v>0</v>
      </c>
      <c r="J78" s="123">
        <f t="shared" si="28"/>
        <v>0</v>
      </c>
      <c r="K78" s="123">
        <f t="shared" si="28"/>
        <v>0</v>
      </c>
      <c r="L78" s="123">
        <f t="shared" si="28"/>
        <v>0</v>
      </c>
      <c r="M78" s="123">
        <f t="shared" si="28"/>
        <v>0</v>
      </c>
      <c r="N78" s="123">
        <f t="shared" si="28"/>
        <v>0</v>
      </c>
      <c r="O78" s="123">
        <f t="shared" si="28"/>
        <v>0</v>
      </c>
      <c r="P78" s="123">
        <f t="shared" si="28"/>
        <v>0</v>
      </c>
      <c r="Q78" s="123">
        <f t="shared" si="28"/>
        <v>0</v>
      </c>
      <c r="R78" s="123">
        <f t="shared" si="28"/>
        <v>0</v>
      </c>
      <c r="S78" s="123">
        <f t="shared" si="28"/>
        <v>0</v>
      </c>
      <c r="T78" s="123">
        <f t="shared" si="28"/>
        <v>0</v>
      </c>
      <c r="U78" s="123">
        <f t="shared" si="28"/>
        <v>0</v>
      </c>
      <c r="V78" s="123">
        <f t="shared" ref="V78:Y85" si="29">+$E78*V$18</f>
        <v>0</v>
      </c>
      <c r="W78" s="123">
        <f t="shared" si="29"/>
        <v>0</v>
      </c>
      <c r="X78" s="123">
        <f t="shared" si="29"/>
        <v>0</v>
      </c>
      <c r="Y78" s="123">
        <f t="shared" si="29"/>
        <v>0</v>
      </c>
    </row>
    <row r="79" spans="2:25" x14ac:dyDescent="0.2">
      <c r="B79" s="129" t="s">
        <v>62</v>
      </c>
      <c r="C79" s="129" t="s">
        <v>20</v>
      </c>
      <c r="D79" s="121">
        <f>+'Inputs Field'!K35</f>
        <v>0</v>
      </c>
      <c r="E79" s="34">
        <f>+D79*'Assumptions &amp; Costs'!D85</f>
        <v>0</v>
      </c>
      <c r="F79" s="123">
        <f t="shared" si="28"/>
        <v>0</v>
      </c>
      <c r="G79" s="123">
        <f t="shared" si="28"/>
        <v>0</v>
      </c>
      <c r="H79" s="123">
        <f t="shared" si="28"/>
        <v>0</v>
      </c>
      <c r="I79" s="123">
        <f t="shared" si="28"/>
        <v>0</v>
      </c>
      <c r="J79" s="123">
        <f t="shared" si="28"/>
        <v>0</v>
      </c>
      <c r="K79" s="123">
        <f t="shared" si="28"/>
        <v>0</v>
      </c>
      <c r="L79" s="123">
        <f t="shared" si="28"/>
        <v>0</v>
      </c>
      <c r="M79" s="123">
        <f t="shared" si="28"/>
        <v>0</v>
      </c>
      <c r="N79" s="123">
        <f t="shared" si="28"/>
        <v>0</v>
      </c>
      <c r="O79" s="123">
        <f t="shared" si="28"/>
        <v>0</v>
      </c>
      <c r="P79" s="123">
        <f t="shared" si="28"/>
        <v>0</v>
      </c>
      <c r="Q79" s="123">
        <f t="shared" si="28"/>
        <v>0</v>
      </c>
      <c r="R79" s="123">
        <f t="shared" si="28"/>
        <v>0</v>
      </c>
      <c r="S79" s="123">
        <f t="shared" si="28"/>
        <v>0</v>
      </c>
      <c r="T79" s="123">
        <f t="shared" si="28"/>
        <v>0</v>
      </c>
      <c r="U79" s="123">
        <f t="shared" si="28"/>
        <v>0</v>
      </c>
      <c r="V79" s="123">
        <f t="shared" si="29"/>
        <v>0</v>
      </c>
      <c r="W79" s="123">
        <f t="shared" si="29"/>
        <v>0</v>
      </c>
      <c r="X79" s="123">
        <f t="shared" si="29"/>
        <v>0</v>
      </c>
      <c r="Y79" s="123">
        <f t="shared" si="29"/>
        <v>0</v>
      </c>
    </row>
    <row r="80" spans="2:25" x14ac:dyDescent="0.2">
      <c r="B80" s="129" t="s">
        <v>65</v>
      </c>
      <c r="C80" s="129" t="s">
        <v>20</v>
      </c>
      <c r="D80" s="121">
        <f>+'Inputs Field'!K36</f>
        <v>0.5</v>
      </c>
      <c r="E80" s="34">
        <f>+D80*'Assumptions &amp; Costs'!D85</f>
        <v>37.5</v>
      </c>
      <c r="F80" s="123">
        <f t="shared" si="28"/>
        <v>0</v>
      </c>
      <c r="G80" s="123">
        <f t="shared" si="28"/>
        <v>18750</v>
      </c>
      <c r="H80" s="123">
        <f t="shared" si="28"/>
        <v>0</v>
      </c>
      <c r="I80" s="123">
        <f t="shared" si="28"/>
        <v>0</v>
      </c>
      <c r="J80" s="123">
        <f t="shared" si="28"/>
        <v>0</v>
      </c>
      <c r="K80" s="123">
        <f t="shared" si="28"/>
        <v>0</v>
      </c>
      <c r="L80" s="123">
        <f t="shared" si="28"/>
        <v>0</v>
      </c>
      <c r="M80" s="123">
        <f t="shared" si="28"/>
        <v>0</v>
      </c>
      <c r="N80" s="123">
        <f t="shared" si="28"/>
        <v>0</v>
      </c>
      <c r="O80" s="123">
        <f t="shared" si="28"/>
        <v>0</v>
      </c>
      <c r="P80" s="123">
        <f t="shared" si="28"/>
        <v>0</v>
      </c>
      <c r="Q80" s="123">
        <f t="shared" si="28"/>
        <v>0</v>
      </c>
      <c r="R80" s="123">
        <f t="shared" si="28"/>
        <v>0</v>
      </c>
      <c r="S80" s="123">
        <f t="shared" si="28"/>
        <v>0</v>
      </c>
      <c r="T80" s="123">
        <f t="shared" si="28"/>
        <v>0</v>
      </c>
      <c r="U80" s="123">
        <f t="shared" si="28"/>
        <v>0</v>
      </c>
      <c r="V80" s="123">
        <f t="shared" si="29"/>
        <v>0</v>
      </c>
      <c r="W80" s="123">
        <f t="shared" si="29"/>
        <v>0</v>
      </c>
      <c r="X80" s="123">
        <f t="shared" si="29"/>
        <v>0</v>
      </c>
      <c r="Y80" s="123">
        <f t="shared" si="29"/>
        <v>0</v>
      </c>
    </row>
    <row r="81" spans="2:25" x14ac:dyDescent="0.2">
      <c r="C81" s="129" t="s">
        <v>53</v>
      </c>
      <c r="D81" s="121">
        <f>+'Inputs Field'!K37</f>
        <v>0.2</v>
      </c>
      <c r="E81" s="34">
        <f>+D81*'Assumptions &amp; Costs'!D86</f>
        <v>15</v>
      </c>
      <c r="F81" s="123">
        <f t="shared" si="28"/>
        <v>0</v>
      </c>
      <c r="G81" s="123">
        <f t="shared" si="28"/>
        <v>7500</v>
      </c>
      <c r="H81" s="123">
        <f t="shared" si="28"/>
        <v>0</v>
      </c>
      <c r="I81" s="123">
        <f t="shared" si="28"/>
        <v>0</v>
      </c>
      <c r="J81" s="123">
        <f t="shared" si="28"/>
        <v>0</v>
      </c>
      <c r="K81" s="123">
        <f t="shared" si="28"/>
        <v>0</v>
      </c>
      <c r="L81" s="123">
        <f t="shared" si="28"/>
        <v>0</v>
      </c>
      <c r="M81" s="123">
        <f t="shared" si="28"/>
        <v>0</v>
      </c>
      <c r="N81" s="123">
        <f t="shared" si="28"/>
        <v>0</v>
      </c>
      <c r="O81" s="123">
        <f t="shared" si="28"/>
        <v>0</v>
      </c>
      <c r="P81" s="123">
        <f t="shared" si="28"/>
        <v>0</v>
      </c>
      <c r="Q81" s="123">
        <f t="shared" si="28"/>
        <v>0</v>
      </c>
      <c r="R81" s="123">
        <f t="shared" si="28"/>
        <v>0</v>
      </c>
      <c r="S81" s="123">
        <f t="shared" si="28"/>
        <v>0</v>
      </c>
      <c r="T81" s="123">
        <f t="shared" si="28"/>
        <v>0</v>
      </c>
      <c r="U81" s="123">
        <f t="shared" si="28"/>
        <v>0</v>
      </c>
      <c r="V81" s="123">
        <f t="shared" si="29"/>
        <v>0</v>
      </c>
      <c r="W81" s="123">
        <f t="shared" si="29"/>
        <v>0</v>
      </c>
      <c r="X81" s="123">
        <f t="shared" si="29"/>
        <v>0</v>
      </c>
      <c r="Y81" s="123">
        <f t="shared" si="29"/>
        <v>0</v>
      </c>
    </row>
    <row r="82" spans="2:25" x14ac:dyDescent="0.2">
      <c r="C82" s="129" t="s">
        <v>54</v>
      </c>
      <c r="D82" s="121">
        <f>+'Inputs Field'!K38</f>
        <v>0.15</v>
      </c>
      <c r="E82" s="34">
        <f>+D82*'Assumptions &amp; Costs'!D87</f>
        <v>7.5</v>
      </c>
      <c r="F82" s="123">
        <f t="shared" si="28"/>
        <v>0</v>
      </c>
      <c r="G82" s="123">
        <f t="shared" si="28"/>
        <v>3750</v>
      </c>
      <c r="H82" s="123">
        <f t="shared" si="28"/>
        <v>0</v>
      </c>
      <c r="I82" s="123">
        <f t="shared" si="28"/>
        <v>0</v>
      </c>
      <c r="J82" s="123">
        <f t="shared" si="28"/>
        <v>0</v>
      </c>
      <c r="K82" s="123">
        <f t="shared" si="28"/>
        <v>0</v>
      </c>
      <c r="L82" s="123">
        <f t="shared" si="28"/>
        <v>0</v>
      </c>
      <c r="M82" s="123">
        <f t="shared" si="28"/>
        <v>0</v>
      </c>
      <c r="N82" s="123">
        <f t="shared" si="28"/>
        <v>0</v>
      </c>
      <c r="O82" s="123">
        <f t="shared" si="28"/>
        <v>0</v>
      </c>
      <c r="P82" s="123">
        <f t="shared" si="28"/>
        <v>0</v>
      </c>
      <c r="Q82" s="123">
        <f t="shared" si="28"/>
        <v>0</v>
      </c>
      <c r="R82" s="123">
        <f t="shared" si="28"/>
        <v>0</v>
      </c>
      <c r="S82" s="123">
        <f t="shared" si="28"/>
        <v>0</v>
      </c>
      <c r="T82" s="123">
        <f t="shared" si="28"/>
        <v>0</v>
      </c>
      <c r="U82" s="123">
        <f t="shared" si="28"/>
        <v>0</v>
      </c>
      <c r="V82" s="123">
        <f t="shared" si="29"/>
        <v>0</v>
      </c>
      <c r="W82" s="123">
        <f t="shared" si="29"/>
        <v>0</v>
      </c>
      <c r="X82" s="123">
        <f t="shared" si="29"/>
        <v>0</v>
      </c>
      <c r="Y82" s="123">
        <f t="shared" si="29"/>
        <v>0</v>
      </c>
    </row>
    <row r="83" spans="2:25" x14ac:dyDescent="0.2">
      <c r="B83" s="129" t="s">
        <v>69</v>
      </c>
      <c r="C83" s="129" t="s">
        <v>241</v>
      </c>
      <c r="D83" s="121">
        <f>+'Inputs Field'!K42</f>
        <v>3</v>
      </c>
      <c r="E83" s="34">
        <f>+D83*'Assumptions &amp; Costs'!D88</f>
        <v>30</v>
      </c>
      <c r="F83" s="123">
        <f t="shared" si="28"/>
        <v>0</v>
      </c>
      <c r="G83" s="123">
        <f t="shared" si="28"/>
        <v>15000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  <c r="T83" s="123">
        <f t="shared" si="28"/>
        <v>0</v>
      </c>
      <c r="U83" s="123">
        <f t="shared" si="28"/>
        <v>0</v>
      </c>
      <c r="V83" s="123">
        <f t="shared" si="29"/>
        <v>0</v>
      </c>
      <c r="W83" s="123">
        <f t="shared" si="29"/>
        <v>0</v>
      </c>
      <c r="X83" s="123">
        <f t="shared" si="29"/>
        <v>0</v>
      </c>
      <c r="Y83" s="123">
        <f t="shared" si="29"/>
        <v>0</v>
      </c>
    </row>
    <row r="84" spans="2:25" x14ac:dyDescent="0.2">
      <c r="B84" s="129" t="s">
        <v>242</v>
      </c>
      <c r="C84" s="129" t="s">
        <v>241</v>
      </c>
      <c r="D84" s="121">
        <f>+'Inputs Field'!K56</f>
        <v>0.5</v>
      </c>
      <c r="E84" s="34">
        <f>+D84*'Assumptions &amp; Costs'!D88</f>
        <v>5</v>
      </c>
      <c r="F84" s="123">
        <f t="shared" si="28"/>
        <v>0</v>
      </c>
      <c r="G84" s="123">
        <f t="shared" si="28"/>
        <v>2500</v>
      </c>
      <c r="H84" s="123">
        <f t="shared" si="28"/>
        <v>0</v>
      </c>
      <c r="I84" s="123">
        <f t="shared" si="28"/>
        <v>0</v>
      </c>
      <c r="J84" s="123">
        <f t="shared" si="28"/>
        <v>0</v>
      </c>
      <c r="K84" s="123">
        <f t="shared" si="28"/>
        <v>0</v>
      </c>
      <c r="L84" s="123">
        <f t="shared" si="28"/>
        <v>0</v>
      </c>
      <c r="M84" s="123">
        <f t="shared" si="28"/>
        <v>0</v>
      </c>
      <c r="N84" s="123">
        <f t="shared" si="28"/>
        <v>0</v>
      </c>
      <c r="O84" s="123">
        <f t="shared" si="28"/>
        <v>0</v>
      </c>
      <c r="P84" s="123">
        <f t="shared" si="28"/>
        <v>0</v>
      </c>
      <c r="Q84" s="123">
        <f t="shared" si="28"/>
        <v>0</v>
      </c>
      <c r="R84" s="123">
        <f t="shared" si="28"/>
        <v>0</v>
      </c>
      <c r="S84" s="123">
        <f t="shared" si="28"/>
        <v>0</v>
      </c>
      <c r="T84" s="123">
        <f t="shared" si="28"/>
        <v>0</v>
      </c>
      <c r="U84" s="123">
        <f t="shared" si="28"/>
        <v>0</v>
      </c>
      <c r="V84" s="123">
        <f t="shared" si="29"/>
        <v>0</v>
      </c>
      <c r="W84" s="123">
        <f t="shared" si="29"/>
        <v>0</v>
      </c>
      <c r="X84" s="123">
        <f t="shared" si="29"/>
        <v>0</v>
      </c>
      <c r="Y84" s="123">
        <f t="shared" si="29"/>
        <v>0</v>
      </c>
    </row>
    <row r="85" spans="2:25" x14ac:dyDescent="0.2">
      <c r="B85" s="129" t="s">
        <v>233</v>
      </c>
      <c r="C85" s="43">
        <f>+'Inputs Field'!H57</f>
        <v>0.05</v>
      </c>
      <c r="E85" s="34">
        <f>SUM(E50:E66)*C85</f>
        <v>50.439336538461532</v>
      </c>
      <c r="F85" s="123">
        <f t="shared" si="28"/>
        <v>0</v>
      </c>
      <c r="G85" s="123">
        <f t="shared" si="28"/>
        <v>25219.668269230766</v>
      </c>
      <c r="H85" s="123">
        <f t="shared" si="28"/>
        <v>0</v>
      </c>
      <c r="I85" s="123">
        <f t="shared" si="28"/>
        <v>0</v>
      </c>
      <c r="J85" s="123">
        <f t="shared" si="28"/>
        <v>0</v>
      </c>
      <c r="K85" s="123">
        <f t="shared" si="28"/>
        <v>0</v>
      </c>
      <c r="L85" s="123">
        <f t="shared" si="28"/>
        <v>0</v>
      </c>
      <c r="M85" s="123">
        <f t="shared" si="28"/>
        <v>0</v>
      </c>
      <c r="N85" s="123">
        <f t="shared" si="28"/>
        <v>0</v>
      </c>
      <c r="O85" s="123">
        <f t="shared" si="28"/>
        <v>0</v>
      </c>
      <c r="P85" s="123">
        <f t="shared" si="28"/>
        <v>0</v>
      </c>
      <c r="Q85" s="123">
        <f t="shared" si="28"/>
        <v>0</v>
      </c>
      <c r="R85" s="123">
        <f t="shared" si="28"/>
        <v>0</v>
      </c>
      <c r="S85" s="123">
        <f t="shared" si="28"/>
        <v>0</v>
      </c>
      <c r="T85" s="123">
        <f t="shared" si="28"/>
        <v>0</v>
      </c>
      <c r="U85" s="123">
        <f t="shared" si="28"/>
        <v>0</v>
      </c>
      <c r="V85" s="123">
        <f t="shared" si="29"/>
        <v>0</v>
      </c>
      <c r="W85" s="123">
        <f t="shared" si="29"/>
        <v>0</v>
      </c>
      <c r="X85" s="123">
        <f t="shared" si="29"/>
        <v>0</v>
      </c>
      <c r="Y85" s="123">
        <f t="shared" si="29"/>
        <v>0</v>
      </c>
    </row>
    <row r="86" spans="2:25" x14ac:dyDescent="0.2">
      <c r="B86" s="1" t="s">
        <v>86</v>
      </c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</row>
    <row r="87" spans="2:25" x14ac:dyDescent="0.2">
      <c r="B87" s="129" t="s">
        <v>234</v>
      </c>
      <c r="C87" s="123"/>
      <c r="D87" s="123"/>
      <c r="E87" s="34">
        <f t="shared" ref="E87:Y87" si="30">SUM(E50:E66)</f>
        <v>1008.7867307692306</v>
      </c>
      <c r="F87" s="77">
        <f t="shared" si="30"/>
        <v>0</v>
      </c>
      <c r="G87" s="77">
        <f t="shared" si="30"/>
        <v>504393.36538461538</v>
      </c>
      <c r="H87" s="77">
        <f t="shared" si="30"/>
        <v>0</v>
      </c>
      <c r="I87" s="77">
        <f t="shared" si="30"/>
        <v>0</v>
      </c>
      <c r="J87" s="77">
        <f t="shared" si="30"/>
        <v>0</v>
      </c>
      <c r="K87" s="77">
        <f t="shared" si="30"/>
        <v>0</v>
      </c>
      <c r="L87" s="77">
        <f t="shared" si="30"/>
        <v>0</v>
      </c>
      <c r="M87" s="77">
        <f t="shared" si="30"/>
        <v>0</v>
      </c>
      <c r="N87" s="77">
        <f t="shared" si="30"/>
        <v>0</v>
      </c>
      <c r="O87" s="77">
        <f t="shared" si="30"/>
        <v>0</v>
      </c>
      <c r="P87" s="77">
        <f t="shared" si="30"/>
        <v>0</v>
      </c>
      <c r="Q87" s="77">
        <f t="shared" si="30"/>
        <v>0</v>
      </c>
      <c r="R87" s="77">
        <f t="shared" si="30"/>
        <v>0</v>
      </c>
      <c r="S87" s="77">
        <f t="shared" si="30"/>
        <v>0</v>
      </c>
      <c r="T87" s="77">
        <f t="shared" si="30"/>
        <v>0</v>
      </c>
      <c r="U87" s="77">
        <f t="shared" si="30"/>
        <v>0</v>
      </c>
      <c r="V87" s="77">
        <f t="shared" si="30"/>
        <v>0</v>
      </c>
      <c r="W87" s="77">
        <f t="shared" si="30"/>
        <v>0</v>
      </c>
      <c r="X87" s="77">
        <f t="shared" si="30"/>
        <v>0</v>
      </c>
      <c r="Y87" s="77">
        <f t="shared" si="30"/>
        <v>0</v>
      </c>
    </row>
    <row r="88" spans="2:25" x14ac:dyDescent="0.2">
      <c r="B88" s="129" t="s">
        <v>1</v>
      </c>
      <c r="C88" s="123"/>
      <c r="D88" s="123"/>
      <c r="E88" s="34">
        <f t="shared" ref="E88:Y88" si="31">SUM(E69:E76)</f>
        <v>994.68594057317682</v>
      </c>
      <c r="F88" s="77">
        <f t="shared" si="31"/>
        <v>0</v>
      </c>
      <c r="G88" s="77">
        <f t="shared" si="31"/>
        <v>435181.40468408843</v>
      </c>
      <c r="H88" s="77">
        <f t="shared" si="31"/>
        <v>0</v>
      </c>
      <c r="I88" s="77">
        <f t="shared" si="31"/>
        <v>0</v>
      </c>
      <c r="J88" s="77">
        <f t="shared" si="31"/>
        <v>0</v>
      </c>
      <c r="K88" s="77">
        <f t="shared" si="31"/>
        <v>0</v>
      </c>
      <c r="L88" s="77">
        <f t="shared" si="31"/>
        <v>0</v>
      </c>
      <c r="M88" s="77">
        <f t="shared" si="31"/>
        <v>0</v>
      </c>
      <c r="N88" s="77">
        <f t="shared" si="31"/>
        <v>0</v>
      </c>
      <c r="O88" s="77">
        <f t="shared" si="31"/>
        <v>0</v>
      </c>
      <c r="P88" s="77">
        <f t="shared" si="31"/>
        <v>0</v>
      </c>
      <c r="Q88" s="77">
        <f t="shared" si="31"/>
        <v>0</v>
      </c>
      <c r="R88" s="77">
        <f t="shared" si="31"/>
        <v>0</v>
      </c>
      <c r="S88" s="77">
        <f t="shared" si="31"/>
        <v>0</v>
      </c>
      <c r="T88" s="77">
        <f t="shared" si="31"/>
        <v>0</v>
      </c>
      <c r="U88" s="77">
        <f t="shared" si="31"/>
        <v>0</v>
      </c>
      <c r="V88" s="77">
        <f t="shared" si="31"/>
        <v>0</v>
      </c>
      <c r="W88" s="77">
        <f t="shared" si="31"/>
        <v>0</v>
      </c>
      <c r="X88" s="77">
        <f t="shared" si="31"/>
        <v>0</v>
      </c>
      <c r="Y88" s="77">
        <f t="shared" si="31"/>
        <v>0</v>
      </c>
    </row>
    <row r="89" spans="2:25" x14ac:dyDescent="0.2">
      <c r="B89" s="129" t="s">
        <v>101</v>
      </c>
      <c r="C89" s="123"/>
      <c r="D89" s="123"/>
      <c r="E89" s="34">
        <f>SUM(E78:E85)</f>
        <v>1345.4393365384615</v>
      </c>
      <c r="F89" s="77">
        <f t="shared" ref="F89:Y89" si="32">SUM(F78:F85)</f>
        <v>0</v>
      </c>
      <c r="G89" s="77">
        <f t="shared" si="32"/>
        <v>672719.66826923075</v>
      </c>
      <c r="H89" s="77">
        <f t="shared" si="32"/>
        <v>0</v>
      </c>
      <c r="I89" s="77">
        <f t="shared" si="32"/>
        <v>0</v>
      </c>
      <c r="J89" s="77">
        <f t="shared" si="32"/>
        <v>0</v>
      </c>
      <c r="K89" s="77">
        <f t="shared" si="32"/>
        <v>0</v>
      </c>
      <c r="L89" s="77">
        <f t="shared" si="32"/>
        <v>0</v>
      </c>
      <c r="M89" s="77">
        <f t="shared" si="32"/>
        <v>0</v>
      </c>
      <c r="N89" s="77">
        <f t="shared" si="32"/>
        <v>0</v>
      </c>
      <c r="O89" s="77">
        <f t="shared" si="32"/>
        <v>0</v>
      </c>
      <c r="P89" s="77">
        <f t="shared" si="32"/>
        <v>0</v>
      </c>
      <c r="Q89" s="77">
        <f t="shared" si="32"/>
        <v>0</v>
      </c>
      <c r="R89" s="77">
        <f t="shared" si="32"/>
        <v>0</v>
      </c>
      <c r="S89" s="77">
        <f t="shared" si="32"/>
        <v>0</v>
      </c>
      <c r="T89" s="77">
        <f t="shared" si="32"/>
        <v>0</v>
      </c>
      <c r="U89" s="77">
        <f t="shared" si="32"/>
        <v>0</v>
      </c>
      <c r="V89" s="77">
        <f t="shared" si="32"/>
        <v>0</v>
      </c>
      <c r="W89" s="77">
        <f t="shared" si="32"/>
        <v>0</v>
      </c>
      <c r="X89" s="77">
        <f t="shared" si="32"/>
        <v>0</v>
      </c>
      <c r="Y89" s="77">
        <f t="shared" si="32"/>
        <v>0</v>
      </c>
    </row>
    <row r="90" spans="2:25" x14ac:dyDescent="0.2">
      <c r="B90" s="1" t="s">
        <v>114</v>
      </c>
      <c r="C90" s="123"/>
      <c r="D90" s="123"/>
      <c r="E90" s="34">
        <f>SUM(E87:E89)</f>
        <v>3348.9120078808692</v>
      </c>
      <c r="F90" s="77">
        <f t="shared" ref="F90:Y90" si="33">SUM(F87:F89)</f>
        <v>0</v>
      </c>
      <c r="G90" s="77">
        <f t="shared" si="33"/>
        <v>1612294.4383379347</v>
      </c>
      <c r="H90" s="77">
        <f t="shared" si="33"/>
        <v>0</v>
      </c>
      <c r="I90" s="77">
        <f t="shared" si="33"/>
        <v>0</v>
      </c>
      <c r="J90" s="77">
        <f t="shared" si="33"/>
        <v>0</v>
      </c>
      <c r="K90" s="77">
        <f t="shared" si="33"/>
        <v>0</v>
      </c>
      <c r="L90" s="77">
        <f t="shared" si="33"/>
        <v>0</v>
      </c>
      <c r="M90" s="77">
        <f t="shared" si="33"/>
        <v>0</v>
      </c>
      <c r="N90" s="77">
        <f t="shared" si="33"/>
        <v>0</v>
      </c>
      <c r="O90" s="77">
        <f t="shared" si="33"/>
        <v>0</v>
      </c>
      <c r="P90" s="77">
        <f t="shared" si="33"/>
        <v>0</v>
      </c>
      <c r="Q90" s="77">
        <f t="shared" si="33"/>
        <v>0</v>
      </c>
      <c r="R90" s="77">
        <f t="shared" si="33"/>
        <v>0</v>
      </c>
      <c r="S90" s="77">
        <f t="shared" si="33"/>
        <v>0</v>
      </c>
      <c r="T90" s="77">
        <f t="shared" si="33"/>
        <v>0</v>
      </c>
      <c r="U90" s="77">
        <f t="shared" si="33"/>
        <v>0</v>
      </c>
      <c r="V90" s="77">
        <f t="shared" si="33"/>
        <v>0</v>
      </c>
      <c r="W90" s="77">
        <f t="shared" si="33"/>
        <v>0</v>
      </c>
      <c r="X90" s="77">
        <f t="shared" si="33"/>
        <v>0</v>
      </c>
      <c r="Y90" s="77">
        <f t="shared" si="33"/>
        <v>0</v>
      </c>
    </row>
    <row r="91" spans="2:25" x14ac:dyDescent="0.2"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</row>
    <row r="92" spans="2:25" x14ac:dyDescent="0.2">
      <c r="B92" s="1" t="s">
        <v>243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</row>
    <row r="93" spans="2:25" x14ac:dyDescent="0.2">
      <c r="B93" s="1" t="s">
        <v>0</v>
      </c>
      <c r="C93" s="75" t="s">
        <v>229</v>
      </c>
      <c r="D93" s="75" t="s">
        <v>230</v>
      </c>
      <c r="E93" s="75" t="s">
        <v>460</v>
      </c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</row>
    <row r="94" spans="2:25" x14ac:dyDescent="0.2">
      <c r="B94" s="129" t="s">
        <v>69</v>
      </c>
      <c r="C94" s="79">
        <f>+'Inputs Field'!D66</f>
        <v>2</v>
      </c>
      <c r="D94" s="34">
        <f>+'Inputs Field'!F66</f>
        <v>1</v>
      </c>
      <c r="E94" s="34">
        <f>+C94*D94*'Assumptions &amp; Costs'!E$76*(1+'Assumptions &amp; Costs'!C$81)</f>
        <v>11.494999999999999</v>
      </c>
      <c r="F94" s="123"/>
      <c r="G94" s="123">
        <f>+$E94*F$18</f>
        <v>0</v>
      </c>
      <c r="H94" s="123">
        <f t="shared" ref="H94:Y94" si="34">+$E94*G$18</f>
        <v>5747.5</v>
      </c>
      <c r="I94" s="123">
        <f t="shared" si="34"/>
        <v>0</v>
      </c>
      <c r="J94" s="123">
        <f t="shared" si="34"/>
        <v>0</v>
      </c>
      <c r="K94" s="123">
        <f t="shared" si="34"/>
        <v>0</v>
      </c>
      <c r="L94" s="123">
        <f t="shared" si="34"/>
        <v>0</v>
      </c>
      <c r="M94" s="123">
        <f t="shared" si="34"/>
        <v>0</v>
      </c>
      <c r="N94" s="123">
        <f t="shared" si="34"/>
        <v>0</v>
      </c>
      <c r="O94" s="123">
        <f t="shared" si="34"/>
        <v>0</v>
      </c>
      <c r="P94" s="123">
        <f t="shared" si="34"/>
        <v>0</v>
      </c>
      <c r="Q94" s="123">
        <f t="shared" si="34"/>
        <v>0</v>
      </c>
      <c r="R94" s="123">
        <f t="shared" si="34"/>
        <v>0</v>
      </c>
      <c r="S94" s="123">
        <f t="shared" si="34"/>
        <v>0</v>
      </c>
      <c r="T94" s="123">
        <f t="shared" si="34"/>
        <v>0</v>
      </c>
      <c r="U94" s="123">
        <f t="shared" si="34"/>
        <v>0</v>
      </c>
      <c r="V94" s="123">
        <f t="shared" si="34"/>
        <v>0</v>
      </c>
      <c r="W94" s="123">
        <f t="shared" si="34"/>
        <v>0</v>
      </c>
      <c r="X94" s="123">
        <f t="shared" si="34"/>
        <v>0</v>
      </c>
      <c r="Y94" s="123">
        <f t="shared" si="34"/>
        <v>0</v>
      </c>
    </row>
    <row r="95" spans="2:25" x14ac:dyDescent="0.2">
      <c r="B95" s="129" t="s">
        <v>244</v>
      </c>
      <c r="C95" s="79">
        <f>+'Inputs Field'!D68</f>
        <v>0.4</v>
      </c>
      <c r="D95" s="34">
        <f>+'Inputs Field'!F68</f>
        <v>1</v>
      </c>
      <c r="E95" s="34">
        <f>+C95*D95*'Assumptions &amp; Costs'!E$76*(1+'Assumptions &amp; Costs'!C$81)</f>
        <v>2.2989999999999999</v>
      </c>
      <c r="F95" s="123"/>
      <c r="G95" s="123">
        <f t="shared" ref="G95:Y106" si="35">+$E95*F$18</f>
        <v>0</v>
      </c>
      <c r="H95" s="123">
        <f t="shared" si="35"/>
        <v>1149.5</v>
      </c>
      <c r="I95" s="123">
        <f t="shared" si="35"/>
        <v>0</v>
      </c>
      <c r="J95" s="123">
        <f t="shared" si="35"/>
        <v>0</v>
      </c>
      <c r="K95" s="123">
        <f t="shared" si="35"/>
        <v>0</v>
      </c>
      <c r="L95" s="123">
        <f t="shared" si="35"/>
        <v>0</v>
      </c>
      <c r="M95" s="123">
        <f t="shared" si="35"/>
        <v>0</v>
      </c>
      <c r="N95" s="123">
        <f t="shared" si="35"/>
        <v>0</v>
      </c>
      <c r="O95" s="123">
        <f t="shared" si="35"/>
        <v>0</v>
      </c>
      <c r="P95" s="123">
        <f t="shared" si="35"/>
        <v>0</v>
      </c>
      <c r="Q95" s="123">
        <f t="shared" si="35"/>
        <v>0</v>
      </c>
      <c r="R95" s="123">
        <f t="shared" si="35"/>
        <v>0</v>
      </c>
      <c r="S95" s="123">
        <f t="shared" si="35"/>
        <v>0</v>
      </c>
      <c r="T95" s="123">
        <f t="shared" si="35"/>
        <v>0</v>
      </c>
      <c r="U95" s="123">
        <f t="shared" si="35"/>
        <v>0</v>
      </c>
      <c r="V95" s="123">
        <f t="shared" si="35"/>
        <v>0</v>
      </c>
      <c r="W95" s="123">
        <f t="shared" si="35"/>
        <v>0</v>
      </c>
      <c r="X95" s="123">
        <f t="shared" si="35"/>
        <v>0</v>
      </c>
      <c r="Y95" s="123">
        <f t="shared" si="35"/>
        <v>0</v>
      </c>
    </row>
    <row r="96" spans="2:25" x14ac:dyDescent="0.2">
      <c r="B96" s="129" t="s">
        <v>68</v>
      </c>
      <c r="C96" s="79">
        <f>+'Inputs Field'!D71</f>
        <v>3</v>
      </c>
      <c r="D96" s="34">
        <f>+'Inputs Field'!F71</f>
        <v>6</v>
      </c>
      <c r="E96" s="34">
        <f>+C96*D96*'Assumptions &amp; Costs'!E$76*(1+'Assumptions &amp; Costs'!C$81)</f>
        <v>103.455</v>
      </c>
      <c r="F96" s="123"/>
      <c r="G96" s="123">
        <f t="shared" si="35"/>
        <v>0</v>
      </c>
      <c r="H96" s="123">
        <f t="shared" si="35"/>
        <v>51727.5</v>
      </c>
      <c r="I96" s="123">
        <f t="shared" si="35"/>
        <v>0</v>
      </c>
      <c r="J96" s="123">
        <f t="shared" si="35"/>
        <v>0</v>
      </c>
      <c r="K96" s="123">
        <f t="shared" si="35"/>
        <v>0</v>
      </c>
      <c r="L96" s="123">
        <f t="shared" si="35"/>
        <v>0</v>
      </c>
      <c r="M96" s="123">
        <f t="shared" si="35"/>
        <v>0</v>
      </c>
      <c r="N96" s="123">
        <f t="shared" si="35"/>
        <v>0</v>
      </c>
      <c r="O96" s="123">
        <f t="shared" si="35"/>
        <v>0</v>
      </c>
      <c r="P96" s="123">
        <f t="shared" si="35"/>
        <v>0</v>
      </c>
      <c r="Q96" s="123">
        <f t="shared" si="35"/>
        <v>0</v>
      </c>
      <c r="R96" s="123">
        <f t="shared" si="35"/>
        <v>0</v>
      </c>
      <c r="S96" s="123">
        <f t="shared" si="35"/>
        <v>0</v>
      </c>
      <c r="T96" s="123">
        <f t="shared" si="35"/>
        <v>0</v>
      </c>
      <c r="U96" s="123">
        <f t="shared" si="35"/>
        <v>0</v>
      </c>
      <c r="V96" s="123">
        <f t="shared" si="35"/>
        <v>0</v>
      </c>
      <c r="W96" s="123">
        <f t="shared" si="35"/>
        <v>0</v>
      </c>
      <c r="X96" s="123">
        <f t="shared" si="35"/>
        <v>0</v>
      </c>
      <c r="Y96" s="123">
        <f t="shared" si="35"/>
        <v>0</v>
      </c>
    </row>
    <row r="97" spans="2:25" x14ac:dyDescent="0.2">
      <c r="B97" s="129" t="s">
        <v>24</v>
      </c>
      <c r="C97" s="79">
        <f>+'Inputs Field'!D72</f>
        <v>0.5</v>
      </c>
      <c r="D97" s="34">
        <f>+'Inputs Field'!F72</f>
        <v>6</v>
      </c>
      <c r="E97" s="34">
        <f>+C97*D97*'Assumptions &amp; Costs'!E$75*(1+'Assumptions &amp; Costs'!C$81)</f>
        <v>18.809999999999999</v>
      </c>
      <c r="F97" s="123"/>
      <c r="G97" s="123">
        <f t="shared" si="35"/>
        <v>0</v>
      </c>
      <c r="H97" s="123">
        <f t="shared" si="35"/>
        <v>9405</v>
      </c>
      <c r="I97" s="123">
        <f t="shared" si="35"/>
        <v>0</v>
      </c>
      <c r="J97" s="123">
        <f t="shared" si="35"/>
        <v>0</v>
      </c>
      <c r="K97" s="123">
        <f t="shared" si="35"/>
        <v>0</v>
      </c>
      <c r="L97" s="123">
        <f t="shared" si="35"/>
        <v>0</v>
      </c>
      <c r="M97" s="123">
        <f t="shared" si="35"/>
        <v>0</v>
      </c>
      <c r="N97" s="123">
        <f t="shared" si="35"/>
        <v>0</v>
      </c>
      <c r="O97" s="123">
        <f t="shared" si="35"/>
        <v>0</v>
      </c>
      <c r="P97" s="123">
        <f t="shared" si="35"/>
        <v>0</v>
      </c>
      <c r="Q97" s="123">
        <f t="shared" si="35"/>
        <v>0</v>
      </c>
      <c r="R97" s="123">
        <f t="shared" si="35"/>
        <v>0</v>
      </c>
      <c r="S97" s="123">
        <f t="shared" si="35"/>
        <v>0</v>
      </c>
      <c r="T97" s="123">
        <f t="shared" si="35"/>
        <v>0</v>
      </c>
      <c r="U97" s="123">
        <f t="shared" si="35"/>
        <v>0</v>
      </c>
      <c r="V97" s="123">
        <f t="shared" si="35"/>
        <v>0</v>
      </c>
      <c r="W97" s="123">
        <f t="shared" si="35"/>
        <v>0</v>
      </c>
      <c r="X97" s="123">
        <f t="shared" si="35"/>
        <v>0</v>
      </c>
      <c r="Y97" s="123">
        <f t="shared" si="35"/>
        <v>0</v>
      </c>
    </row>
    <row r="98" spans="2:25" x14ac:dyDescent="0.2">
      <c r="B98" s="129" t="s">
        <v>23</v>
      </c>
      <c r="C98" s="79">
        <f>+'Inputs Field'!D73</f>
        <v>2</v>
      </c>
      <c r="D98" s="34">
        <f>+'Inputs Field'!F73</f>
        <v>12</v>
      </c>
      <c r="E98" s="34">
        <f>+C98*D98*'Assumptions &amp; Costs'!E$76*(1+'Assumptions &amp; Costs'!C$81)</f>
        <v>137.94</v>
      </c>
      <c r="F98" s="123"/>
      <c r="G98" s="123">
        <f t="shared" si="35"/>
        <v>0</v>
      </c>
      <c r="H98" s="123">
        <f t="shared" si="35"/>
        <v>68970</v>
      </c>
      <c r="I98" s="123">
        <f t="shared" si="35"/>
        <v>0</v>
      </c>
      <c r="J98" s="123">
        <f t="shared" si="35"/>
        <v>0</v>
      </c>
      <c r="K98" s="123">
        <f t="shared" si="35"/>
        <v>0</v>
      </c>
      <c r="L98" s="123">
        <f t="shared" si="35"/>
        <v>0</v>
      </c>
      <c r="M98" s="123">
        <f t="shared" si="35"/>
        <v>0</v>
      </c>
      <c r="N98" s="123">
        <f t="shared" si="35"/>
        <v>0</v>
      </c>
      <c r="O98" s="123">
        <f t="shared" si="35"/>
        <v>0</v>
      </c>
      <c r="P98" s="123">
        <f t="shared" si="35"/>
        <v>0</v>
      </c>
      <c r="Q98" s="123">
        <f t="shared" si="35"/>
        <v>0</v>
      </c>
      <c r="R98" s="123">
        <f t="shared" si="35"/>
        <v>0</v>
      </c>
      <c r="S98" s="123">
        <f t="shared" si="35"/>
        <v>0</v>
      </c>
      <c r="T98" s="123">
        <f t="shared" si="35"/>
        <v>0</v>
      </c>
      <c r="U98" s="123">
        <f t="shared" si="35"/>
        <v>0</v>
      </c>
      <c r="V98" s="123">
        <f t="shared" si="35"/>
        <v>0</v>
      </c>
      <c r="W98" s="123">
        <f t="shared" si="35"/>
        <v>0</v>
      </c>
      <c r="X98" s="123">
        <f t="shared" si="35"/>
        <v>0</v>
      </c>
      <c r="Y98" s="123">
        <f t="shared" si="35"/>
        <v>0</v>
      </c>
    </row>
    <row r="99" spans="2:25" x14ac:dyDescent="0.2">
      <c r="B99" s="129" t="s">
        <v>13</v>
      </c>
      <c r="C99" s="79">
        <f>+'Inputs Field'!D74</f>
        <v>1</v>
      </c>
      <c r="D99" s="34">
        <f>+'Inputs Field'!F74</f>
        <v>2</v>
      </c>
      <c r="E99" s="34">
        <f>+C99*D99*'Assumptions &amp; Costs'!E$76*(1+'Assumptions &amp; Costs'!C$81)</f>
        <v>11.494999999999999</v>
      </c>
      <c r="F99" s="123"/>
      <c r="G99" s="123">
        <f t="shared" si="35"/>
        <v>0</v>
      </c>
      <c r="H99" s="123">
        <f t="shared" si="35"/>
        <v>5747.5</v>
      </c>
      <c r="I99" s="123">
        <f t="shared" si="35"/>
        <v>0</v>
      </c>
      <c r="J99" s="123">
        <f t="shared" si="35"/>
        <v>0</v>
      </c>
      <c r="K99" s="123">
        <f t="shared" si="35"/>
        <v>0</v>
      </c>
      <c r="L99" s="123">
        <f t="shared" si="35"/>
        <v>0</v>
      </c>
      <c r="M99" s="123">
        <f t="shared" si="35"/>
        <v>0</v>
      </c>
      <c r="N99" s="123">
        <f t="shared" si="35"/>
        <v>0</v>
      </c>
      <c r="O99" s="123">
        <f t="shared" si="35"/>
        <v>0</v>
      </c>
      <c r="P99" s="123">
        <f t="shared" si="35"/>
        <v>0</v>
      </c>
      <c r="Q99" s="123">
        <f t="shared" si="35"/>
        <v>0</v>
      </c>
      <c r="R99" s="123">
        <f t="shared" si="35"/>
        <v>0</v>
      </c>
      <c r="S99" s="123">
        <f t="shared" si="35"/>
        <v>0</v>
      </c>
      <c r="T99" s="123">
        <f t="shared" si="35"/>
        <v>0</v>
      </c>
      <c r="U99" s="123">
        <f t="shared" si="35"/>
        <v>0</v>
      </c>
      <c r="V99" s="123">
        <f t="shared" si="35"/>
        <v>0</v>
      </c>
      <c r="W99" s="123">
        <f t="shared" si="35"/>
        <v>0</v>
      </c>
      <c r="X99" s="123">
        <f t="shared" si="35"/>
        <v>0</v>
      </c>
      <c r="Y99" s="123">
        <f t="shared" si="35"/>
        <v>0</v>
      </c>
    </row>
    <row r="100" spans="2:25" x14ac:dyDescent="0.2">
      <c r="B100" s="129" t="s">
        <v>34</v>
      </c>
      <c r="C100" s="79">
        <f>+'Inputs Field'!D76</f>
        <v>0.5</v>
      </c>
      <c r="D100" s="34">
        <f>+'Inputs Field'!F76</f>
        <v>6</v>
      </c>
      <c r="E100" s="34">
        <f>+C100*D100*'Assumptions &amp; Costs'!E$76*(1+'Assumptions &amp; Costs'!C$81)</f>
        <v>17.2425</v>
      </c>
      <c r="F100" s="123"/>
      <c r="G100" s="123">
        <f t="shared" si="35"/>
        <v>0</v>
      </c>
      <c r="H100" s="123">
        <f t="shared" si="35"/>
        <v>8621.25</v>
      </c>
      <c r="I100" s="123">
        <f t="shared" si="35"/>
        <v>0</v>
      </c>
      <c r="J100" s="123">
        <f t="shared" si="35"/>
        <v>0</v>
      </c>
      <c r="K100" s="123">
        <f t="shared" si="35"/>
        <v>0</v>
      </c>
      <c r="L100" s="123">
        <f t="shared" si="35"/>
        <v>0</v>
      </c>
      <c r="M100" s="123">
        <f t="shared" si="35"/>
        <v>0</v>
      </c>
      <c r="N100" s="123">
        <f t="shared" si="35"/>
        <v>0</v>
      </c>
      <c r="O100" s="123">
        <f t="shared" si="35"/>
        <v>0</v>
      </c>
      <c r="P100" s="123">
        <f t="shared" si="35"/>
        <v>0</v>
      </c>
      <c r="Q100" s="123">
        <f t="shared" si="35"/>
        <v>0</v>
      </c>
      <c r="R100" s="123">
        <f t="shared" si="35"/>
        <v>0</v>
      </c>
      <c r="S100" s="123">
        <f t="shared" si="35"/>
        <v>0</v>
      </c>
      <c r="T100" s="123">
        <f t="shared" si="35"/>
        <v>0</v>
      </c>
      <c r="U100" s="123">
        <f t="shared" si="35"/>
        <v>0</v>
      </c>
      <c r="V100" s="123">
        <f t="shared" si="35"/>
        <v>0</v>
      </c>
      <c r="W100" s="123">
        <f t="shared" si="35"/>
        <v>0</v>
      </c>
      <c r="X100" s="123">
        <f t="shared" si="35"/>
        <v>0</v>
      </c>
      <c r="Y100" s="123">
        <f t="shared" si="35"/>
        <v>0</v>
      </c>
    </row>
    <row r="101" spans="2:25" x14ac:dyDescent="0.2">
      <c r="B101" s="129" t="s">
        <v>33</v>
      </c>
      <c r="C101" s="79">
        <f>+'Inputs Field'!D77</f>
        <v>0.2</v>
      </c>
      <c r="D101" s="34">
        <f>+'Inputs Field'!F77</f>
        <v>1</v>
      </c>
      <c r="E101" s="34">
        <f>+C101*D101*'Assumptions &amp; Costs'!E$76*(1+'Assumptions &amp; Costs'!C$81)</f>
        <v>1.1495</v>
      </c>
      <c r="F101" s="123"/>
      <c r="G101" s="123">
        <f t="shared" si="35"/>
        <v>0</v>
      </c>
      <c r="H101" s="123">
        <f t="shared" si="35"/>
        <v>574.75</v>
      </c>
      <c r="I101" s="123">
        <f t="shared" si="35"/>
        <v>0</v>
      </c>
      <c r="J101" s="123">
        <f t="shared" si="35"/>
        <v>0</v>
      </c>
      <c r="K101" s="123">
        <f t="shared" si="35"/>
        <v>0</v>
      </c>
      <c r="L101" s="123">
        <f t="shared" si="35"/>
        <v>0</v>
      </c>
      <c r="M101" s="123">
        <f t="shared" si="35"/>
        <v>0</v>
      </c>
      <c r="N101" s="123">
        <f t="shared" si="35"/>
        <v>0</v>
      </c>
      <c r="O101" s="123">
        <f t="shared" si="35"/>
        <v>0</v>
      </c>
      <c r="P101" s="123">
        <f t="shared" si="35"/>
        <v>0</v>
      </c>
      <c r="Q101" s="123">
        <f t="shared" si="35"/>
        <v>0</v>
      </c>
      <c r="R101" s="123">
        <f t="shared" si="35"/>
        <v>0</v>
      </c>
      <c r="S101" s="123">
        <f t="shared" si="35"/>
        <v>0</v>
      </c>
      <c r="T101" s="123">
        <f t="shared" si="35"/>
        <v>0</v>
      </c>
      <c r="U101" s="123">
        <f t="shared" si="35"/>
        <v>0</v>
      </c>
      <c r="V101" s="123">
        <f t="shared" si="35"/>
        <v>0</v>
      </c>
      <c r="W101" s="123">
        <f t="shared" si="35"/>
        <v>0</v>
      </c>
      <c r="X101" s="123">
        <f t="shared" si="35"/>
        <v>0</v>
      </c>
      <c r="Y101" s="123">
        <f t="shared" si="35"/>
        <v>0</v>
      </c>
    </row>
    <row r="102" spans="2:25" x14ac:dyDescent="0.2">
      <c r="B102" s="129" t="s">
        <v>26</v>
      </c>
      <c r="C102" s="79">
        <f>+'Inputs Field'!D79</f>
        <v>1</v>
      </c>
      <c r="D102" s="34">
        <f>+'Inputs Field'!F79</f>
        <v>1</v>
      </c>
      <c r="E102" s="34">
        <f>+C102*D102*'Assumptions &amp; Costs'!E$76*(1+'Assumptions &amp; Costs'!C$81)</f>
        <v>5.7474999999999996</v>
      </c>
      <c r="F102" s="123"/>
      <c r="G102" s="123">
        <f t="shared" si="35"/>
        <v>0</v>
      </c>
      <c r="H102" s="123">
        <f t="shared" si="35"/>
        <v>2873.75</v>
      </c>
      <c r="I102" s="123">
        <f t="shared" si="35"/>
        <v>0</v>
      </c>
      <c r="J102" s="123">
        <f t="shared" si="35"/>
        <v>0</v>
      </c>
      <c r="K102" s="123">
        <f t="shared" si="35"/>
        <v>0</v>
      </c>
      <c r="L102" s="123">
        <f t="shared" si="35"/>
        <v>0</v>
      </c>
      <c r="M102" s="123">
        <f t="shared" si="35"/>
        <v>0</v>
      </c>
      <c r="N102" s="123">
        <f t="shared" si="35"/>
        <v>0</v>
      </c>
      <c r="O102" s="123">
        <f t="shared" si="35"/>
        <v>0</v>
      </c>
      <c r="P102" s="123">
        <f t="shared" si="35"/>
        <v>0</v>
      </c>
      <c r="Q102" s="123">
        <f t="shared" si="35"/>
        <v>0</v>
      </c>
      <c r="R102" s="123">
        <f t="shared" si="35"/>
        <v>0</v>
      </c>
      <c r="S102" s="123">
        <f t="shared" si="35"/>
        <v>0</v>
      </c>
      <c r="T102" s="123">
        <f t="shared" si="35"/>
        <v>0</v>
      </c>
      <c r="U102" s="123">
        <f t="shared" si="35"/>
        <v>0</v>
      </c>
      <c r="V102" s="123">
        <f t="shared" si="35"/>
        <v>0</v>
      </c>
      <c r="W102" s="123">
        <f t="shared" si="35"/>
        <v>0</v>
      </c>
      <c r="X102" s="123">
        <f t="shared" si="35"/>
        <v>0</v>
      </c>
      <c r="Y102" s="123">
        <f t="shared" si="35"/>
        <v>0</v>
      </c>
    </row>
    <row r="103" spans="2:25" x14ac:dyDescent="0.2">
      <c r="B103" s="129" t="s">
        <v>31</v>
      </c>
      <c r="C103" s="79">
        <f>+'Inputs Field'!D80</f>
        <v>1</v>
      </c>
      <c r="D103" s="34">
        <f>+'Inputs Field'!F80</f>
        <v>1</v>
      </c>
      <c r="E103" s="34">
        <f>+C103*D103*'Assumptions &amp; Costs'!E$76*(1+'Assumptions &amp; Costs'!C$81)</f>
        <v>5.7474999999999996</v>
      </c>
      <c r="F103" s="123"/>
      <c r="G103" s="123">
        <f t="shared" si="35"/>
        <v>0</v>
      </c>
      <c r="H103" s="123">
        <f t="shared" si="35"/>
        <v>2873.75</v>
      </c>
      <c r="I103" s="123">
        <f t="shared" si="35"/>
        <v>0</v>
      </c>
      <c r="J103" s="123">
        <f t="shared" si="35"/>
        <v>0</v>
      </c>
      <c r="K103" s="123">
        <f t="shared" si="35"/>
        <v>0</v>
      </c>
      <c r="L103" s="123">
        <f t="shared" si="35"/>
        <v>0</v>
      </c>
      <c r="M103" s="123">
        <f t="shared" si="35"/>
        <v>0</v>
      </c>
      <c r="N103" s="123">
        <f t="shared" si="35"/>
        <v>0</v>
      </c>
      <c r="O103" s="123">
        <f t="shared" si="35"/>
        <v>0</v>
      </c>
      <c r="P103" s="123">
        <f t="shared" si="35"/>
        <v>0</v>
      </c>
      <c r="Q103" s="123">
        <f t="shared" si="35"/>
        <v>0</v>
      </c>
      <c r="R103" s="123">
        <f t="shared" si="35"/>
        <v>0</v>
      </c>
      <c r="S103" s="123">
        <f t="shared" si="35"/>
        <v>0</v>
      </c>
      <c r="T103" s="123">
        <f t="shared" si="35"/>
        <v>0</v>
      </c>
      <c r="U103" s="123">
        <f t="shared" si="35"/>
        <v>0</v>
      </c>
      <c r="V103" s="123">
        <f t="shared" si="35"/>
        <v>0</v>
      </c>
      <c r="W103" s="123">
        <f t="shared" si="35"/>
        <v>0</v>
      </c>
      <c r="X103" s="123">
        <f t="shared" si="35"/>
        <v>0</v>
      </c>
      <c r="Y103" s="123">
        <f t="shared" si="35"/>
        <v>0</v>
      </c>
    </row>
    <row r="104" spans="2:25" x14ac:dyDescent="0.2">
      <c r="B104" s="129" t="s">
        <v>58</v>
      </c>
      <c r="C104" s="79">
        <f>+'Inputs Field'!D81</f>
        <v>1</v>
      </c>
      <c r="D104" s="34">
        <f>+'Inputs Field'!F81</f>
        <v>1</v>
      </c>
      <c r="E104" s="34">
        <f>+C104*D104*'Assumptions &amp; Costs'!E$76*(1+'Assumptions &amp; Costs'!C$81)</f>
        <v>5.7474999999999996</v>
      </c>
      <c r="F104" s="123"/>
      <c r="G104" s="123">
        <f t="shared" si="35"/>
        <v>0</v>
      </c>
      <c r="H104" s="123">
        <f t="shared" si="35"/>
        <v>2873.75</v>
      </c>
      <c r="I104" s="123">
        <f t="shared" si="35"/>
        <v>0</v>
      </c>
      <c r="J104" s="123">
        <f t="shared" si="35"/>
        <v>0</v>
      </c>
      <c r="K104" s="123">
        <f t="shared" si="35"/>
        <v>0</v>
      </c>
      <c r="L104" s="123">
        <f t="shared" si="35"/>
        <v>0</v>
      </c>
      <c r="M104" s="123">
        <f t="shared" si="35"/>
        <v>0</v>
      </c>
      <c r="N104" s="123">
        <f t="shared" si="35"/>
        <v>0</v>
      </c>
      <c r="O104" s="123">
        <f t="shared" si="35"/>
        <v>0</v>
      </c>
      <c r="P104" s="123">
        <f t="shared" si="35"/>
        <v>0</v>
      </c>
      <c r="Q104" s="123">
        <f t="shared" si="35"/>
        <v>0</v>
      </c>
      <c r="R104" s="123">
        <f t="shared" si="35"/>
        <v>0</v>
      </c>
      <c r="S104" s="123">
        <f t="shared" si="35"/>
        <v>0</v>
      </c>
      <c r="T104" s="123">
        <f t="shared" si="35"/>
        <v>0</v>
      </c>
      <c r="U104" s="123">
        <f t="shared" si="35"/>
        <v>0</v>
      </c>
      <c r="V104" s="123">
        <f t="shared" si="35"/>
        <v>0</v>
      </c>
      <c r="W104" s="123">
        <f t="shared" si="35"/>
        <v>0</v>
      </c>
      <c r="X104" s="123">
        <f t="shared" si="35"/>
        <v>0</v>
      </c>
      <c r="Y104" s="123">
        <f t="shared" si="35"/>
        <v>0</v>
      </c>
    </row>
    <row r="105" spans="2:25" x14ac:dyDescent="0.2">
      <c r="B105" s="129" t="s">
        <v>46</v>
      </c>
      <c r="C105" s="76">
        <f>+'Inputs Field'!D84</f>
        <v>0.1</v>
      </c>
      <c r="D105" s="34"/>
      <c r="E105" s="34">
        <f>SUMPRODUCT(C$94:C$104,D$94:D$104)*C105*'Assumptions &amp; Costs'!E78*(1+'Assumptions &amp; Costs'!C$81)</f>
        <v>43.576500000000003</v>
      </c>
      <c r="F105" s="123"/>
      <c r="G105" s="123">
        <f t="shared" si="35"/>
        <v>0</v>
      </c>
      <c r="H105" s="123">
        <f t="shared" si="35"/>
        <v>21788.25</v>
      </c>
      <c r="I105" s="123">
        <f t="shared" si="35"/>
        <v>0</v>
      </c>
      <c r="J105" s="123">
        <f t="shared" si="35"/>
        <v>0</v>
      </c>
      <c r="K105" s="123">
        <f t="shared" si="35"/>
        <v>0</v>
      </c>
      <c r="L105" s="123">
        <f t="shared" si="35"/>
        <v>0</v>
      </c>
      <c r="M105" s="123">
        <f t="shared" si="35"/>
        <v>0</v>
      </c>
      <c r="N105" s="123">
        <f t="shared" si="35"/>
        <v>0</v>
      </c>
      <c r="O105" s="123">
        <f t="shared" si="35"/>
        <v>0</v>
      </c>
      <c r="P105" s="123">
        <f t="shared" si="35"/>
        <v>0</v>
      </c>
      <c r="Q105" s="123">
        <f t="shared" si="35"/>
        <v>0</v>
      </c>
      <c r="R105" s="123">
        <f t="shared" si="35"/>
        <v>0</v>
      </c>
      <c r="S105" s="123">
        <f t="shared" si="35"/>
        <v>0</v>
      </c>
      <c r="T105" s="123">
        <f t="shared" si="35"/>
        <v>0</v>
      </c>
      <c r="U105" s="123">
        <f t="shared" si="35"/>
        <v>0</v>
      </c>
      <c r="V105" s="123">
        <f t="shared" si="35"/>
        <v>0</v>
      </c>
      <c r="W105" s="123">
        <f t="shared" si="35"/>
        <v>0</v>
      </c>
      <c r="X105" s="123">
        <f t="shared" si="35"/>
        <v>0</v>
      </c>
      <c r="Y105" s="123">
        <f t="shared" si="35"/>
        <v>0</v>
      </c>
    </row>
    <row r="106" spans="2:25" x14ac:dyDescent="0.2">
      <c r="B106" s="129" t="s">
        <v>47</v>
      </c>
      <c r="C106" s="76">
        <f>+'Inputs Field'!D85</f>
        <v>0.05</v>
      </c>
      <c r="D106" s="34"/>
      <c r="E106" s="34">
        <f>SUMPRODUCT(C$94:C$104,D$94:D$104)*C106*'Assumptions &amp; Costs'!E79*(1+'Assumptions &amp; Costs'!C$81)</f>
        <v>83.80096153846155</v>
      </c>
      <c r="F106" s="123"/>
      <c r="G106" s="123">
        <f t="shared" si="35"/>
        <v>0</v>
      </c>
      <c r="H106" s="123">
        <f t="shared" si="35"/>
        <v>41900.480769230773</v>
      </c>
      <c r="I106" s="123">
        <f t="shared" si="35"/>
        <v>0</v>
      </c>
      <c r="J106" s="123">
        <f t="shared" si="35"/>
        <v>0</v>
      </c>
      <c r="K106" s="123">
        <f t="shared" si="35"/>
        <v>0</v>
      </c>
      <c r="L106" s="123">
        <f t="shared" si="35"/>
        <v>0</v>
      </c>
      <c r="M106" s="123">
        <f t="shared" si="35"/>
        <v>0</v>
      </c>
      <c r="N106" s="123">
        <f t="shared" si="35"/>
        <v>0</v>
      </c>
      <c r="O106" s="123">
        <f t="shared" si="35"/>
        <v>0</v>
      </c>
      <c r="P106" s="123">
        <f t="shared" si="35"/>
        <v>0</v>
      </c>
      <c r="Q106" s="123">
        <f t="shared" si="35"/>
        <v>0</v>
      </c>
      <c r="R106" s="123">
        <f t="shared" si="35"/>
        <v>0</v>
      </c>
      <c r="S106" s="123">
        <f t="shared" si="35"/>
        <v>0</v>
      </c>
      <c r="T106" s="123">
        <f t="shared" si="35"/>
        <v>0</v>
      </c>
      <c r="U106" s="123">
        <f t="shared" si="35"/>
        <v>0</v>
      </c>
      <c r="V106" s="123">
        <f t="shared" si="35"/>
        <v>0</v>
      </c>
      <c r="W106" s="123">
        <f t="shared" si="35"/>
        <v>0</v>
      </c>
      <c r="X106" s="123">
        <f t="shared" si="35"/>
        <v>0</v>
      </c>
      <c r="Y106" s="123">
        <f t="shared" si="35"/>
        <v>0</v>
      </c>
    </row>
    <row r="107" spans="2:25" x14ac:dyDescent="0.2">
      <c r="B107" s="1" t="s">
        <v>1</v>
      </c>
      <c r="C107" s="123"/>
      <c r="D107" s="123"/>
      <c r="E107" s="34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</row>
    <row r="108" spans="2:25" x14ac:dyDescent="0.2">
      <c r="B108" s="129" t="s">
        <v>237</v>
      </c>
      <c r="C108" s="34">
        <f>+'Inputs Field'!H68</f>
        <v>7</v>
      </c>
      <c r="D108" s="34"/>
      <c r="E108" s="34">
        <f>+C108*'Assumptions &amp; Costs'!C66</f>
        <v>3.5</v>
      </c>
      <c r="F108" s="123"/>
      <c r="G108" s="123">
        <f t="shared" ref="G108:Y113" si="36">+$E108*F$18</f>
        <v>0</v>
      </c>
      <c r="H108" s="123">
        <f t="shared" si="36"/>
        <v>1750</v>
      </c>
      <c r="I108" s="123">
        <f t="shared" si="36"/>
        <v>0</v>
      </c>
      <c r="J108" s="123">
        <f t="shared" si="36"/>
        <v>0</v>
      </c>
      <c r="K108" s="123">
        <f t="shared" si="36"/>
        <v>0</v>
      </c>
      <c r="L108" s="123">
        <f t="shared" si="36"/>
        <v>0</v>
      </c>
      <c r="M108" s="123">
        <f t="shared" si="36"/>
        <v>0</v>
      </c>
      <c r="N108" s="123">
        <f t="shared" si="36"/>
        <v>0</v>
      </c>
      <c r="O108" s="123">
        <f t="shared" si="36"/>
        <v>0</v>
      </c>
      <c r="P108" s="123">
        <f t="shared" si="36"/>
        <v>0</v>
      </c>
      <c r="Q108" s="123">
        <f t="shared" si="36"/>
        <v>0</v>
      </c>
      <c r="R108" s="123">
        <f t="shared" si="36"/>
        <v>0</v>
      </c>
      <c r="S108" s="123">
        <f t="shared" si="36"/>
        <v>0</v>
      </c>
      <c r="T108" s="123">
        <f t="shared" si="36"/>
        <v>0</v>
      </c>
      <c r="U108" s="123">
        <f t="shared" si="36"/>
        <v>0</v>
      </c>
      <c r="V108" s="123">
        <f t="shared" si="36"/>
        <v>0</v>
      </c>
      <c r="W108" s="123">
        <f t="shared" si="36"/>
        <v>0</v>
      </c>
      <c r="X108" s="123">
        <f t="shared" si="36"/>
        <v>0</v>
      </c>
      <c r="Y108" s="123">
        <f t="shared" si="36"/>
        <v>0</v>
      </c>
    </row>
    <row r="109" spans="2:25" x14ac:dyDescent="0.2">
      <c r="B109" s="129" t="s">
        <v>562</v>
      </c>
      <c r="C109" s="34">
        <f>+'Inputs Field'!H68</f>
        <v>7</v>
      </c>
      <c r="D109" s="34"/>
      <c r="E109" s="34">
        <f>+C109*Nursery!J72</f>
        <v>29.415113426918417</v>
      </c>
      <c r="F109" s="123"/>
      <c r="G109" s="123">
        <f t="shared" ref="G109" si="37">+$E109*F$18</f>
        <v>0</v>
      </c>
      <c r="H109" s="123">
        <f t="shared" ref="H109" si="38">+$E109*G$18</f>
        <v>14707.556713459209</v>
      </c>
      <c r="I109" s="123">
        <f t="shared" ref="I109" si="39">+$E109*H$18</f>
        <v>0</v>
      </c>
      <c r="J109" s="123">
        <f t="shared" ref="J109" si="40">+$E109*I$18</f>
        <v>0</v>
      </c>
      <c r="K109" s="123">
        <f t="shared" ref="K109" si="41">+$E109*J$18</f>
        <v>0</v>
      </c>
      <c r="L109" s="123">
        <f t="shared" ref="L109" si="42">+$E109*K$18</f>
        <v>0</v>
      </c>
      <c r="M109" s="123">
        <f t="shared" ref="M109" si="43">+$E109*L$18</f>
        <v>0</v>
      </c>
      <c r="N109" s="123">
        <f t="shared" ref="N109" si="44">+$E109*M$18</f>
        <v>0</v>
      </c>
      <c r="O109" s="123">
        <f t="shared" ref="O109" si="45">+$E109*N$18</f>
        <v>0</v>
      </c>
      <c r="P109" s="123">
        <f t="shared" ref="P109" si="46">+$E109*O$18</f>
        <v>0</v>
      </c>
      <c r="Q109" s="123">
        <f t="shared" ref="Q109" si="47">+$E109*P$18</f>
        <v>0</v>
      </c>
      <c r="R109" s="123">
        <f t="shared" ref="R109" si="48">+$E109*Q$18</f>
        <v>0</v>
      </c>
      <c r="S109" s="123">
        <f t="shared" ref="S109" si="49">+$E109*R$18</f>
        <v>0</v>
      </c>
      <c r="T109" s="123">
        <f t="shared" ref="T109" si="50">+$E109*S$18</f>
        <v>0</v>
      </c>
      <c r="U109" s="123">
        <f t="shared" ref="U109" si="51">+$E109*T$18</f>
        <v>0</v>
      </c>
      <c r="V109" s="123">
        <f t="shared" ref="V109" si="52">+$E109*U$18</f>
        <v>0</v>
      </c>
      <c r="W109" s="123">
        <f t="shared" ref="W109" si="53">+$E109*V$18</f>
        <v>0</v>
      </c>
      <c r="X109" s="123">
        <f t="shared" ref="X109" si="54">+$E109*W$18</f>
        <v>0</v>
      </c>
      <c r="Y109" s="123">
        <f t="shared" ref="Y109" si="55">+$E109*X$18</f>
        <v>0</v>
      </c>
    </row>
    <row r="110" spans="2:25" x14ac:dyDescent="0.2">
      <c r="B110" s="129" t="s">
        <v>238</v>
      </c>
      <c r="C110" s="73">
        <f>+'Inputs Field'!H70</f>
        <v>0.5</v>
      </c>
      <c r="D110" s="34"/>
      <c r="E110" s="34">
        <f>+C110*C108*('Assumptions &amp; Costs'!C71+'Assumptions &amp; Costs'!C72)/1000</f>
        <v>1.60825</v>
      </c>
      <c r="F110" s="123"/>
      <c r="G110" s="123">
        <f t="shared" si="36"/>
        <v>0</v>
      </c>
      <c r="H110" s="123">
        <f t="shared" si="36"/>
        <v>804.125</v>
      </c>
      <c r="I110" s="123">
        <f t="shared" si="36"/>
        <v>0</v>
      </c>
      <c r="J110" s="123">
        <f t="shared" si="36"/>
        <v>0</v>
      </c>
      <c r="K110" s="123">
        <f t="shared" si="36"/>
        <v>0</v>
      </c>
      <c r="L110" s="123">
        <f t="shared" si="36"/>
        <v>0</v>
      </c>
      <c r="M110" s="123">
        <f t="shared" si="36"/>
        <v>0</v>
      </c>
      <c r="N110" s="123">
        <f t="shared" si="36"/>
        <v>0</v>
      </c>
      <c r="O110" s="123">
        <f t="shared" si="36"/>
        <v>0</v>
      </c>
      <c r="P110" s="123">
        <f t="shared" si="36"/>
        <v>0</v>
      </c>
      <c r="Q110" s="123">
        <f t="shared" si="36"/>
        <v>0</v>
      </c>
      <c r="R110" s="123">
        <f t="shared" si="36"/>
        <v>0</v>
      </c>
      <c r="S110" s="123">
        <f t="shared" si="36"/>
        <v>0</v>
      </c>
      <c r="T110" s="123">
        <f t="shared" si="36"/>
        <v>0</v>
      </c>
      <c r="U110" s="123">
        <f t="shared" si="36"/>
        <v>0</v>
      </c>
      <c r="V110" s="123">
        <f t="shared" si="36"/>
        <v>0</v>
      </c>
      <c r="W110" s="123">
        <f t="shared" si="36"/>
        <v>0</v>
      </c>
      <c r="X110" s="123">
        <f t="shared" si="36"/>
        <v>0</v>
      </c>
      <c r="Y110" s="123">
        <f t="shared" si="36"/>
        <v>0</v>
      </c>
    </row>
    <row r="111" spans="2:25" x14ac:dyDescent="0.2">
      <c r="B111" s="129" t="s">
        <v>239</v>
      </c>
      <c r="C111" s="73">
        <f>+'Inputs Field'!H72</f>
        <v>1</v>
      </c>
      <c r="D111" s="34">
        <f>+'Inputs Field'!F72</f>
        <v>6</v>
      </c>
      <c r="E111" s="34">
        <f>+D111*C111*'Assumptions &amp; Costs'!C65</f>
        <v>60</v>
      </c>
      <c r="F111" s="123"/>
      <c r="G111" s="123">
        <f t="shared" si="36"/>
        <v>0</v>
      </c>
      <c r="H111" s="123">
        <f t="shared" si="36"/>
        <v>30000</v>
      </c>
      <c r="I111" s="123">
        <f t="shared" si="36"/>
        <v>0</v>
      </c>
      <c r="J111" s="123">
        <f t="shared" si="36"/>
        <v>0</v>
      </c>
      <c r="K111" s="123">
        <f t="shared" si="36"/>
        <v>0</v>
      </c>
      <c r="L111" s="123">
        <f t="shared" si="36"/>
        <v>0</v>
      </c>
      <c r="M111" s="123">
        <f t="shared" si="36"/>
        <v>0</v>
      </c>
      <c r="N111" s="123">
        <f t="shared" si="36"/>
        <v>0</v>
      </c>
      <c r="O111" s="123">
        <f t="shared" si="36"/>
        <v>0</v>
      </c>
      <c r="P111" s="123">
        <f t="shared" si="36"/>
        <v>0</v>
      </c>
      <c r="Q111" s="123">
        <f t="shared" si="36"/>
        <v>0</v>
      </c>
      <c r="R111" s="123">
        <f t="shared" si="36"/>
        <v>0</v>
      </c>
      <c r="S111" s="123">
        <f t="shared" si="36"/>
        <v>0</v>
      </c>
      <c r="T111" s="123">
        <f t="shared" si="36"/>
        <v>0</v>
      </c>
      <c r="U111" s="123">
        <f t="shared" si="36"/>
        <v>0</v>
      </c>
      <c r="V111" s="123">
        <f t="shared" si="36"/>
        <v>0</v>
      </c>
      <c r="W111" s="123">
        <f t="shared" si="36"/>
        <v>0</v>
      </c>
      <c r="X111" s="123">
        <f t="shared" si="36"/>
        <v>0</v>
      </c>
      <c r="Y111" s="123">
        <f t="shared" si="36"/>
        <v>0</v>
      </c>
    </row>
    <row r="112" spans="2:25" x14ac:dyDescent="0.2">
      <c r="B112" s="129" t="s">
        <v>232</v>
      </c>
      <c r="C112" s="73">
        <f>+'Inputs Field'!H74</f>
        <v>1.6</v>
      </c>
      <c r="D112" s="34">
        <f>+'Inputs Field'!F74</f>
        <v>2</v>
      </c>
      <c r="E112" s="34">
        <f>+D112*C112*'Inputs Field'!H43*('Assumptions &amp; Costs'!C72+'Assumptions &amp; Costs'!C68)/1000</f>
        <v>269.31250331999996</v>
      </c>
      <c r="F112" s="123"/>
      <c r="G112" s="123">
        <f t="shared" si="36"/>
        <v>0</v>
      </c>
      <c r="H112" s="123">
        <f t="shared" si="36"/>
        <v>134656.25165999998</v>
      </c>
      <c r="I112" s="123">
        <f t="shared" si="36"/>
        <v>0</v>
      </c>
      <c r="J112" s="123">
        <f t="shared" si="36"/>
        <v>0</v>
      </c>
      <c r="K112" s="123">
        <f t="shared" si="36"/>
        <v>0</v>
      </c>
      <c r="L112" s="123">
        <f t="shared" si="36"/>
        <v>0</v>
      </c>
      <c r="M112" s="123">
        <f t="shared" si="36"/>
        <v>0</v>
      </c>
      <c r="N112" s="123">
        <f t="shared" si="36"/>
        <v>0</v>
      </c>
      <c r="O112" s="123">
        <f t="shared" si="36"/>
        <v>0</v>
      </c>
      <c r="P112" s="123">
        <f t="shared" si="36"/>
        <v>0</v>
      </c>
      <c r="Q112" s="123">
        <f t="shared" si="36"/>
        <v>0</v>
      </c>
      <c r="R112" s="123">
        <f t="shared" si="36"/>
        <v>0</v>
      </c>
      <c r="S112" s="123">
        <f t="shared" si="36"/>
        <v>0</v>
      </c>
      <c r="T112" s="123">
        <f t="shared" si="36"/>
        <v>0</v>
      </c>
      <c r="U112" s="123">
        <f t="shared" si="36"/>
        <v>0</v>
      </c>
      <c r="V112" s="123">
        <f t="shared" si="36"/>
        <v>0</v>
      </c>
      <c r="W112" s="123">
        <f t="shared" si="36"/>
        <v>0</v>
      </c>
      <c r="X112" s="123">
        <f t="shared" si="36"/>
        <v>0</v>
      </c>
      <c r="Y112" s="123">
        <f t="shared" si="36"/>
        <v>0</v>
      </c>
    </row>
    <row r="113" spans="2:25" x14ac:dyDescent="0.2">
      <c r="B113" s="129" t="s">
        <v>240</v>
      </c>
      <c r="C113" s="34"/>
      <c r="D113" s="34"/>
      <c r="E113" s="34">
        <f>+'Inputs Field'!H77</f>
        <v>10</v>
      </c>
      <c r="F113" s="123"/>
      <c r="G113" s="123">
        <f t="shared" si="36"/>
        <v>0</v>
      </c>
      <c r="H113" s="123">
        <f t="shared" si="36"/>
        <v>5000</v>
      </c>
      <c r="I113" s="123">
        <f t="shared" si="36"/>
        <v>0</v>
      </c>
      <c r="J113" s="123">
        <f t="shared" si="36"/>
        <v>0</v>
      </c>
      <c r="K113" s="123">
        <f t="shared" si="36"/>
        <v>0</v>
      </c>
      <c r="L113" s="123">
        <f t="shared" si="36"/>
        <v>0</v>
      </c>
      <c r="M113" s="123">
        <f t="shared" si="36"/>
        <v>0</v>
      </c>
      <c r="N113" s="123">
        <f t="shared" si="36"/>
        <v>0</v>
      </c>
      <c r="O113" s="123">
        <f t="shared" si="36"/>
        <v>0</v>
      </c>
      <c r="P113" s="123">
        <f t="shared" si="36"/>
        <v>0</v>
      </c>
      <c r="Q113" s="123">
        <f t="shared" si="36"/>
        <v>0</v>
      </c>
      <c r="R113" s="123">
        <f t="shared" si="36"/>
        <v>0</v>
      </c>
      <c r="S113" s="123">
        <f t="shared" si="36"/>
        <v>0</v>
      </c>
      <c r="T113" s="123">
        <f t="shared" si="36"/>
        <v>0</v>
      </c>
      <c r="U113" s="123">
        <f t="shared" si="36"/>
        <v>0</v>
      </c>
      <c r="V113" s="123">
        <f t="shared" si="36"/>
        <v>0</v>
      </c>
      <c r="W113" s="123">
        <f t="shared" si="36"/>
        <v>0</v>
      </c>
      <c r="X113" s="123">
        <f t="shared" si="36"/>
        <v>0</v>
      </c>
      <c r="Y113" s="123">
        <f t="shared" si="36"/>
        <v>0</v>
      </c>
    </row>
    <row r="114" spans="2:25" x14ac:dyDescent="0.2">
      <c r="B114" s="1" t="s">
        <v>101</v>
      </c>
      <c r="C114" s="34"/>
      <c r="D114" s="121" t="s">
        <v>60</v>
      </c>
      <c r="E114" s="34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</row>
    <row r="115" spans="2:25" x14ac:dyDescent="0.2">
      <c r="B115" s="129" t="s">
        <v>69</v>
      </c>
      <c r="C115" s="129" t="s">
        <v>241</v>
      </c>
      <c r="D115" s="34">
        <f>+'Inputs Field'!K66</f>
        <v>3</v>
      </c>
      <c r="E115" s="34">
        <f>+D115*'Assumptions &amp; Costs'!D88</f>
        <v>30</v>
      </c>
      <c r="F115" s="123"/>
      <c r="G115" s="123">
        <f t="shared" ref="G115:Y117" si="56">+$E115*F$18</f>
        <v>0</v>
      </c>
      <c r="H115" s="123">
        <f t="shared" si="56"/>
        <v>15000</v>
      </c>
      <c r="I115" s="123">
        <f t="shared" si="56"/>
        <v>0</v>
      </c>
      <c r="J115" s="123">
        <f t="shared" si="56"/>
        <v>0</v>
      </c>
      <c r="K115" s="123">
        <f t="shared" si="56"/>
        <v>0</v>
      </c>
      <c r="L115" s="123">
        <f t="shared" si="56"/>
        <v>0</v>
      </c>
      <c r="M115" s="123">
        <f t="shared" si="56"/>
        <v>0</v>
      </c>
      <c r="N115" s="123">
        <f t="shared" si="56"/>
        <v>0</v>
      </c>
      <c r="O115" s="123">
        <f t="shared" si="56"/>
        <v>0</v>
      </c>
      <c r="P115" s="123">
        <f t="shared" si="56"/>
        <v>0</v>
      </c>
      <c r="Q115" s="123">
        <f t="shared" si="56"/>
        <v>0</v>
      </c>
      <c r="R115" s="123">
        <f t="shared" si="56"/>
        <v>0</v>
      </c>
      <c r="S115" s="123">
        <f t="shared" si="56"/>
        <v>0</v>
      </c>
      <c r="T115" s="123">
        <f t="shared" si="56"/>
        <v>0</v>
      </c>
      <c r="U115" s="123">
        <f t="shared" si="56"/>
        <v>0</v>
      </c>
      <c r="V115" s="123">
        <f t="shared" si="56"/>
        <v>0</v>
      </c>
      <c r="W115" s="123">
        <f t="shared" si="56"/>
        <v>0</v>
      </c>
      <c r="X115" s="123">
        <f t="shared" si="56"/>
        <v>0</v>
      </c>
      <c r="Y115" s="123">
        <f t="shared" si="56"/>
        <v>0</v>
      </c>
    </row>
    <row r="116" spans="2:25" x14ac:dyDescent="0.2">
      <c r="B116" s="129" t="s">
        <v>242</v>
      </c>
      <c r="C116" s="129" t="s">
        <v>241</v>
      </c>
      <c r="D116" s="73">
        <f>+'Inputs Field'!K82</f>
        <v>0.5</v>
      </c>
      <c r="E116" s="34">
        <f>+D116*'Assumptions &amp; Costs'!D88</f>
        <v>5</v>
      </c>
      <c r="F116" s="123"/>
      <c r="G116" s="123">
        <f t="shared" si="56"/>
        <v>0</v>
      </c>
      <c r="H116" s="123">
        <f t="shared" si="56"/>
        <v>2500</v>
      </c>
      <c r="I116" s="123">
        <f t="shared" si="56"/>
        <v>0</v>
      </c>
      <c r="J116" s="123">
        <f t="shared" si="56"/>
        <v>0</v>
      </c>
      <c r="K116" s="123">
        <f t="shared" si="56"/>
        <v>0</v>
      </c>
      <c r="L116" s="123">
        <f t="shared" si="56"/>
        <v>0</v>
      </c>
      <c r="M116" s="123">
        <f t="shared" si="56"/>
        <v>0</v>
      </c>
      <c r="N116" s="123">
        <f t="shared" si="56"/>
        <v>0</v>
      </c>
      <c r="O116" s="123">
        <f t="shared" si="56"/>
        <v>0</v>
      </c>
      <c r="P116" s="123">
        <f t="shared" si="56"/>
        <v>0</v>
      </c>
      <c r="Q116" s="123">
        <f t="shared" si="56"/>
        <v>0</v>
      </c>
      <c r="R116" s="123">
        <f t="shared" si="56"/>
        <v>0</v>
      </c>
      <c r="S116" s="123">
        <f t="shared" si="56"/>
        <v>0</v>
      </c>
      <c r="T116" s="123">
        <f t="shared" si="56"/>
        <v>0</v>
      </c>
      <c r="U116" s="123">
        <f t="shared" si="56"/>
        <v>0</v>
      </c>
      <c r="V116" s="123">
        <f t="shared" si="56"/>
        <v>0</v>
      </c>
      <c r="W116" s="123">
        <f t="shared" si="56"/>
        <v>0</v>
      </c>
      <c r="X116" s="123">
        <f t="shared" si="56"/>
        <v>0</v>
      </c>
      <c r="Y116" s="123">
        <f t="shared" si="56"/>
        <v>0</v>
      </c>
    </row>
    <row r="117" spans="2:25" x14ac:dyDescent="0.2">
      <c r="B117" s="129" t="s">
        <v>233</v>
      </c>
      <c r="C117" s="76">
        <f>+'Inputs Field'!H83</f>
        <v>0.05</v>
      </c>
      <c r="D117" s="34"/>
      <c r="E117" s="34">
        <f>SUM(E94:E104)*C117</f>
        <v>16.056425000000001</v>
      </c>
      <c r="F117" s="123"/>
      <c r="G117" s="123">
        <f t="shared" si="56"/>
        <v>0</v>
      </c>
      <c r="H117" s="123">
        <f t="shared" si="56"/>
        <v>8028.2125000000005</v>
      </c>
      <c r="I117" s="123">
        <f t="shared" si="56"/>
        <v>0</v>
      </c>
      <c r="J117" s="123">
        <f t="shared" si="56"/>
        <v>0</v>
      </c>
      <c r="K117" s="123">
        <f t="shared" si="56"/>
        <v>0</v>
      </c>
      <c r="L117" s="123">
        <f t="shared" si="56"/>
        <v>0</v>
      </c>
      <c r="M117" s="123">
        <f t="shared" si="56"/>
        <v>0</v>
      </c>
      <c r="N117" s="123">
        <f t="shared" si="56"/>
        <v>0</v>
      </c>
      <c r="O117" s="123">
        <f t="shared" si="56"/>
        <v>0</v>
      </c>
      <c r="P117" s="123">
        <f t="shared" si="56"/>
        <v>0</v>
      </c>
      <c r="Q117" s="123">
        <f t="shared" si="56"/>
        <v>0</v>
      </c>
      <c r="R117" s="123">
        <f t="shared" si="56"/>
        <v>0</v>
      </c>
      <c r="S117" s="123">
        <f t="shared" si="56"/>
        <v>0</v>
      </c>
      <c r="T117" s="123">
        <f t="shared" si="56"/>
        <v>0</v>
      </c>
      <c r="U117" s="123">
        <f t="shared" si="56"/>
        <v>0</v>
      </c>
      <c r="V117" s="123">
        <f t="shared" si="56"/>
        <v>0</v>
      </c>
      <c r="W117" s="123">
        <f t="shared" si="56"/>
        <v>0</v>
      </c>
      <c r="X117" s="123">
        <f t="shared" si="56"/>
        <v>0</v>
      </c>
      <c r="Y117" s="123">
        <f t="shared" si="56"/>
        <v>0</v>
      </c>
    </row>
    <row r="118" spans="2:25" x14ac:dyDescent="0.2">
      <c r="B118" s="1" t="s">
        <v>86</v>
      </c>
      <c r="C118" s="34"/>
      <c r="D118" s="34"/>
      <c r="E118" s="34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</row>
    <row r="119" spans="2:25" x14ac:dyDescent="0.2">
      <c r="B119" s="129" t="s">
        <v>234</v>
      </c>
      <c r="C119" s="34"/>
      <c r="D119" s="34"/>
      <c r="E119" s="34">
        <f>SUM(E94:E106)</f>
        <v>448.50596153846158</v>
      </c>
      <c r="F119" s="123"/>
      <c r="G119" s="77">
        <f>SUM(G94:G106)</f>
        <v>0</v>
      </c>
      <c r="H119" s="77">
        <f t="shared" ref="H119:Y119" si="57">SUM(H94:H106)</f>
        <v>224252.98076923078</v>
      </c>
      <c r="I119" s="77">
        <f t="shared" si="57"/>
        <v>0</v>
      </c>
      <c r="J119" s="77">
        <f t="shared" si="57"/>
        <v>0</v>
      </c>
      <c r="K119" s="77">
        <f t="shared" si="57"/>
        <v>0</v>
      </c>
      <c r="L119" s="77">
        <f t="shared" si="57"/>
        <v>0</v>
      </c>
      <c r="M119" s="77">
        <f t="shared" si="57"/>
        <v>0</v>
      </c>
      <c r="N119" s="77">
        <f t="shared" si="57"/>
        <v>0</v>
      </c>
      <c r="O119" s="77">
        <f t="shared" si="57"/>
        <v>0</v>
      </c>
      <c r="P119" s="77">
        <f t="shared" si="57"/>
        <v>0</v>
      </c>
      <c r="Q119" s="77">
        <f t="shared" si="57"/>
        <v>0</v>
      </c>
      <c r="R119" s="77">
        <f t="shared" si="57"/>
        <v>0</v>
      </c>
      <c r="S119" s="77">
        <f t="shared" si="57"/>
        <v>0</v>
      </c>
      <c r="T119" s="77">
        <f t="shared" si="57"/>
        <v>0</v>
      </c>
      <c r="U119" s="77">
        <f t="shared" si="57"/>
        <v>0</v>
      </c>
      <c r="V119" s="77">
        <f t="shared" si="57"/>
        <v>0</v>
      </c>
      <c r="W119" s="77">
        <f t="shared" si="57"/>
        <v>0</v>
      </c>
      <c r="X119" s="77">
        <f t="shared" si="57"/>
        <v>0</v>
      </c>
      <c r="Y119" s="77">
        <f t="shared" si="57"/>
        <v>0</v>
      </c>
    </row>
    <row r="120" spans="2:25" x14ac:dyDescent="0.2">
      <c r="B120" s="129" t="s">
        <v>1</v>
      </c>
      <c r="C120" s="34"/>
      <c r="D120" s="34"/>
      <c r="E120" s="34">
        <f>SUM(E108:E112)</f>
        <v>363.83586674691838</v>
      </c>
      <c r="F120" s="123"/>
      <c r="G120" s="77">
        <f>SUM(G108:G112)</f>
        <v>0</v>
      </c>
      <c r="H120" s="77">
        <f t="shared" ref="H120:Y120" si="58">SUM(H108:H112)</f>
        <v>181917.93337345921</v>
      </c>
      <c r="I120" s="77">
        <f t="shared" si="58"/>
        <v>0</v>
      </c>
      <c r="J120" s="77">
        <f t="shared" si="58"/>
        <v>0</v>
      </c>
      <c r="K120" s="77">
        <f t="shared" si="58"/>
        <v>0</v>
      </c>
      <c r="L120" s="77">
        <f t="shared" si="58"/>
        <v>0</v>
      </c>
      <c r="M120" s="77">
        <f t="shared" si="58"/>
        <v>0</v>
      </c>
      <c r="N120" s="77">
        <f t="shared" si="58"/>
        <v>0</v>
      </c>
      <c r="O120" s="77">
        <f t="shared" si="58"/>
        <v>0</v>
      </c>
      <c r="P120" s="77">
        <f t="shared" si="58"/>
        <v>0</v>
      </c>
      <c r="Q120" s="77">
        <f t="shared" si="58"/>
        <v>0</v>
      </c>
      <c r="R120" s="77">
        <f t="shared" si="58"/>
        <v>0</v>
      </c>
      <c r="S120" s="77">
        <f t="shared" si="58"/>
        <v>0</v>
      </c>
      <c r="T120" s="77">
        <f t="shared" si="58"/>
        <v>0</v>
      </c>
      <c r="U120" s="77">
        <f t="shared" si="58"/>
        <v>0</v>
      </c>
      <c r="V120" s="77">
        <f t="shared" si="58"/>
        <v>0</v>
      </c>
      <c r="W120" s="77">
        <f t="shared" si="58"/>
        <v>0</v>
      </c>
      <c r="X120" s="77">
        <f t="shared" si="58"/>
        <v>0</v>
      </c>
      <c r="Y120" s="77">
        <f t="shared" si="58"/>
        <v>0</v>
      </c>
    </row>
    <row r="121" spans="2:25" x14ac:dyDescent="0.2">
      <c r="B121" s="129" t="s">
        <v>101</v>
      </c>
      <c r="C121" s="34"/>
      <c r="D121" s="34"/>
      <c r="E121" s="34">
        <f>SUM(E115:E117)</f>
        <v>51.056425000000004</v>
      </c>
      <c r="F121" s="123"/>
      <c r="G121" s="77">
        <f>SUM(G115:G117)</f>
        <v>0</v>
      </c>
      <c r="H121" s="77">
        <f t="shared" ref="H121:Y121" si="59">SUM(H115:H117)</f>
        <v>25528.212500000001</v>
      </c>
      <c r="I121" s="77">
        <f t="shared" si="59"/>
        <v>0</v>
      </c>
      <c r="J121" s="77">
        <f t="shared" si="59"/>
        <v>0</v>
      </c>
      <c r="K121" s="77">
        <f t="shared" si="59"/>
        <v>0</v>
      </c>
      <c r="L121" s="77">
        <f t="shared" si="59"/>
        <v>0</v>
      </c>
      <c r="M121" s="77">
        <f t="shared" si="59"/>
        <v>0</v>
      </c>
      <c r="N121" s="77">
        <f t="shared" si="59"/>
        <v>0</v>
      </c>
      <c r="O121" s="77">
        <f t="shared" si="59"/>
        <v>0</v>
      </c>
      <c r="P121" s="77">
        <f t="shared" si="59"/>
        <v>0</v>
      </c>
      <c r="Q121" s="77">
        <f t="shared" si="59"/>
        <v>0</v>
      </c>
      <c r="R121" s="77">
        <f t="shared" si="59"/>
        <v>0</v>
      </c>
      <c r="S121" s="77">
        <f t="shared" si="59"/>
        <v>0</v>
      </c>
      <c r="T121" s="77">
        <f t="shared" si="59"/>
        <v>0</v>
      </c>
      <c r="U121" s="77">
        <f t="shared" si="59"/>
        <v>0</v>
      </c>
      <c r="V121" s="77">
        <f t="shared" si="59"/>
        <v>0</v>
      </c>
      <c r="W121" s="77">
        <f t="shared" si="59"/>
        <v>0</v>
      </c>
      <c r="X121" s="77">
        <f t="shared" si="59"/>
        <v>0</v>
      </c>
      <c r="Y121" s="77">
        <f t="shared" si="59"/>
        <v>0</v>
      </c>
    </row>
    <row r="122" spans="2:25" x14ac:dyDescent="0.2">
      <c r="B122" s="1" t="s">
        <v>114</v>
      </c>
      <c r="C122" s="34"/>
      <c r="D122" s="34"/>
      <c r="E122" s="34">
        <f>SUM(E119:E121)</f>
        <v>863.39825328537995</v>
      </c>
      <c r="F122" s="123"/>
      <c r="G122" s="77">
        <f>SUM(G119:G121)</f>
        <v>0</v>
      </c>
      <c r="H122" s="77">
        <f t="shared" ref="H122:Y122" si="60">SUM(H119:H121)</f>
        <v>431699.12664269004</v>
      </c>
      <c r="I122" s="77">
        <f t="shared" si="60"/>
        <v>0</v>
      </c>
      <c r="J122" s="77">
        <f t="shared" si="60"/>
        <v>0</v>
      </c>
      <c r="K122" s="77">
        <f t="shared" si="60"/>
        <v>0</v>
      </c>
      <c r="L122" s="77">
        <f t="shared" si="60"/>
        <v>0</v>
      </c>
      <c r="M122" s="77">
        <f t="shared" si="60"/>
        <v>0</v>
      </c>
      <c r="N122" s="77">
        <f t="shared" si="60"/>
        <v>0</v>
      </c>
      <c r="O122" s="77">
        <f t="shared" si="60"/>
        <v>0</v>
      </c>
      <c r="P122" s="77">
        <f t="shared" si="60"/>
        <v>0</v>
      </c>
      <c r="Q122" s="77">
        <f t="shared" si="60"/>
        <v>0</v>
      </c>
      <c r="R122" s="77">
        <f t="shared" si="60"/>
        <v>0</v>
      </c>
      <c r="S122" s="77">
        <f t="shared" si="60"/>
        <v>0</v>
      </c>
      <c r="T122" s="77">
        <f t="shared" si="60"/>
        <v>0</v>
      </c>
      <c r="U122" s="77">
        <f t="shared" si="60"/>
        <v>0</v>
      </c>
      <c r="V122" s="77">
        <f t="shared" si="60"/>
        <v>0</v>
      </c>
      <c r="W122" s="77">
        <f t="shared" si="60"/>
        <v>0</v>
      </c>
      <c r="X122" s="77">
        <f t="shared" si="60"/>
        <v>0</v>
      </c>
      <c r="Y122" s="77">
        <f t="shared" si="60"/>
        <v>0</v>
      </c>
    </row>
    <row r="123" spans="2:25" x14ac:dyDescent="0.2"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</row>
    <row r="124" spans="2:25" x14ac:dyDescent="0.2">
      <c r="B124" s="1" t="s">
        <v>245</v>
      </c>
      <c r="C124" s="123"/>
      <c r="D124" s="123"/>
      <c r="E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</row>
    <row r="125" spans="2:25" x14ac:dyDescent="0.2">
      <c r="B125" s="1" t="s">
        <v>0</v>
      </c>
      <c r="C125" s="75" t="s">
        <v>229</v>
      </c>
      <c r="D125" s="75" t="s">
        <v>230</v>
      </c>
      <c r="E125" s="74" t="s">
        <v>460</v>
      </c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</row>
    <row r="126" spans="2:25" x14ac:dyDescent="0.2">
      <c r="B126" s="129" t="s">
        <v>24</v>
      </c>
      <c r="C126" s="79">
        <f>+'Inputs Field'!D92</f>
        <v>0.5</v>
      </c>
      <c r="D126" s="34">
        <f>+'Inputs Field'!F92</f>
        <v>4</v>
      </c>
      <c r="E126" s="34">
        <f>+C126*D126*'Assumptions &amp; Costs'!E$75*(1+'Assumptions &amp; Costs'!C$81)</f>
        <v>12.54</v>
      </c>
      <c r="G126" s="123"/>
      <c r="H126" s="123">
        <f>+$E126*F$18</f>
        <v>0</v>
      </c>
      <c r="I126" s="123">
        <f t="shared" ref="I126:Y135" si="61">+$E126*G$18</f>
        <v>6270</v>
      </c>
      <c r="J126" s="123">
        <f t="shared" si="61"/>
        <v>0</v>
      </c>
      <c r="K126" s="123">
        <f t="shared" si="61"/>
        <v>0</v>
      </c>
      <c r="L126" s="123">
        <f t="shared" si="61"/>
        <v>0</v>
      </c>
      <c r="M126" s="123">
        <f t="shared" si="61"/>
        <v>0</v>
      </c>
      <c r="N126" s="123">
        <f t="shared" si="61"/>
        <v>0</v>
      </c>
      <c r="O126" s="123">
        <f t="shared" si="61"/>
        <v>0</v>
      </c>
      <c r="P126" s="123">
        <f t="shared" si="61"/>
        <v>0</v>
      </c>
      <c r="Q126" s="123">
        <f t="shared" si="61"/>
        <v>0</v>
      </c>
      <c r="R126" s="123">
        <f t="shared" si="61"/>
        <v>0</v>
      </c>
      <c r="S126" s="123">
        <f t="shared" si="61"/>
        <v>0</v>
      </c>
      <c r="T126" s="123">
        <f t="shared" si="61"/>
        <v>0</v>
      </c>
      <c r="U126" s="123">
        <f t="shared" si="61"/>
        <v>0</v>
      </c>
      <c r="V126" s="123">
        <f t="shared" si="61"/>
        <v>0</v>
      </c>
      <c r="W126" s="123">
        <f t="shared" si="61"/>
        <v>0</v>
      </c>
      <c r="X126" s="123">
        <f t="shared" si="61"/>
        <v>0</v>
      </c>
      <c r="Y126" s="123">
        <f t="shared" si="61"/>
        <v>0</v>
      </c>
    </row>
    <row r="127" spans="2:25" x14ac:dyDescent="0.2">
      <c r="B127" s="129" t="s">
        <v>23</v>
      </c>
      <c r="C127" s="79">
        <f>+'Inputs Field'!D93</f>
        <v>2</v>
      </c>
      <c r="D127" s="34">
        <f>+'Inputs Field'!F93</f>
        <v>6</v>
      </c>
      <c r="E127" s="34">
        <f>+C127*D127*'Assumptions &amp; Costs'!E$76*(1+'Assumptions &amp; Costs'!C$81)</f>
        <v>68.97</v>
      </c>
      <c r="G127" s="123"/>
      <c r="H127" s="123">
        <f t="shared" ref="H127:H135" si="62">+$E127*F$18</f>
        <v>0</v>
      </c>
      <c r="I127" s="123">
        <f t="shared" si="61"/>
        <v>34485</v>
      </c>
      <c r="J127" s="123">
        <f t="shared" si="61"/>
        <v>0</v>
      </c>
      <c r="K127" s="123">
        <f t="shared" si="61"/>
        <v>0</v>
      </c>
      <c r="L127" s="123">
        <f t="shared" si="61"/>
        <v>0</v>
      </c>
      <c r="M127" s="123">
        <f t="shared" si="61"/>
        <v>0</v>
      </c>
      <c r="N127" s="123">
        <f t="shared" si="61"/>
        <v>0</v>
      </c>
      <c r="O127" s="123">
        <f t="shared" si="61"/>
        <v>0</v>
      </c>
      <c r="P127" s="123">
        <f t="shared" si="61"/>
        <v>0</v>
      </c>
      <c r="Q127" s="123">
        <f t="shared" si="61"/>
        <v>0</v>
      </c>
      <c r="R127" s="123">
        <f t="shared" si="61"/>
        <v>0</v>
      </c>
      <c r="S127" s="123">
        <f t="shared" si="61"/>
        <v>0</v>
      </c>
      <c r="T127" s="123">
        <f t="shared" si="61"/>
        <v>0</v>
      </c>
      <c r="U127" s="123">
        <f t="shared" si="61"/>
        <v>0</v>
      </c>
      <c r="V127" s="123">
        <f t="shared" si="61"/>
        <v>0</v>
      </c>
      <c r="W127" s="123">
        <f t="shared" si="61"/>
        <v>0</v>
      </c>
      <c r="X127" s="123">
        <f t="shared" si="61"/>
        <v>0</v>
      </c>
      <c r="Y127" s="123">
        <f t="shared" si="61"/>
        <v>0</v>
      </c>
    </row>
    <row r="128" spans="2:25" x14ac:dyDescent="0.2">
      <c r="B128" s="129" t="s">
        <v>13</v>
      </c>
      <c r="C128" s="79">
        <f>+'Inputs Field'!D94</f>
        <v>1</v>
      </c>
      <c r="D128" s="34">
        <f>+'Inputs Field'!F94</f>
        <v>2</v>
      </c>
      <c r="E128" s="34">
        <f>+C128*D128*'Assumptions &amp; Costs'!E$76*(1+'Assumptions &amp; Costs'!C$81)</f>
        <v>11.494999999999999</v>
      </c>
      <c r="G128" s="123"/>
      <c r="H128" s="123">
        <f t="shared" si="62"/>
        <v>0</v>
      </c>
      <c r="I128" s="123">
        <f t="shared" si="61"/>
        <v>5747.5</v>
      </c>
      <c r="J128" s="123">
        <f t="shared" si="61"/>
        <v>0</v>
      </c>
      <c r="K128" s="123">
        <f t="shared" si="61"/>
        <v>0</v>
      </c>
      <c r="L128" s="123">
        <f t="shared" si="61"/>
        <v>0</v>
      </c>
      <c r="M128" s="123">
        <f t="shared" si="61"/>
        <v>0</v>
      </c>
      <c r="N128" s="123">
        <f t="shared" si="61"/>
        <v>0</v>
      </c>
      <c r="O128" s="123">
        <f t="shared" si="61"/>
        <v>0</v>
      </c>
      <c r="P128" s="123">
        <f t="shared" si="61"/>
        <v>0</v>
      </c>
      <c r="Q128" s="123">
        <f t="shared" si="61"/>
        <v>0</v>
      </c>
      <c r="R128" s="123">
        <f t="shared" si="61"/>
        <v>0</v>
      </c>
      <c r="S128" s="123">
        <f t="shared" si="61"/>
        <v>0</v>
      </c>
      <c r="T128" s="123">
        <f t="shared" si="61"/>
        <v>0</v>
      </c>
      <c r="U128" s="123">
        <f t="shared" si="61"/>
        <v>0</v>
      </c>
      <c r="V128" s="123">
        <f t="shared" si="61"/>
        <v>0</v>
      </c>
      <c r="W128" s="123">
        <f t="shared" si="61"/>
        <v>0</v>
      </c>
      <c r="X128" s="123">
        <f t="shared" si="61"/>
        <v>0</v>
      </c>
      <c r="Y128" s="123">
        <f t="shared" si="61"/>
        <v>0</v>
      </c>
    </row>
    <row r="129" spans="2:25" x14ac:dyDescent="0.2">
      <c r="B129" s="129" t="s">
        <v>34</v>
      </c>
      <c r="C129" s="79">
        <f>+'Inputs Field'!D96</f>
        <v>0</v>
      </c>
      <c r="D129" s="34">
        <f>+'Inputs Field'!F96</f>
        <v>0</v>
      </c>
      <c r="E129" s="34">
        <f>+C129*D129*'Assumptions &amp; Costs'!E$76*(1+'Assumptions &amp; Costs'!C$81)</f>
        <v>0</v>
      </c>
      <c r="G129" s="123"/>
      <c r="H129" s="123">
        <f t="shared" si="62"/>
        <v>0</v>
      </c>
      <c r="I129" s="123">
        <f t="shared" si="61"/>
        <v>0</v>
      </c>
      <c r="J129" s="123">
        <f t="shared" si="61"/>
        <v>0</v>
      </c>
      <c r="K129" s="123">
        <f t="shared" si="61"/>
        <v>0</v>
      </c>
      <c r="L129" s="123">
        <f t="shared" si="61"/>
        <v>0</v>
      </c>
      <c r="M129" s="123">
        <f t="shared" si="61"/>
        <v>0</v>
      </c>
      <c r="N129" s="123">
        <f t="shared" si="61"/>
        <v>0</v>
      </c>
      <c r="O129" s="123">
        <f t="shared" si="61"/>
        <v>0</v>
      </c>
      <c r="P129" s="123">
        <f t="shared" si="61"/>
        <v>0</v>
      </c>
      <c r="Q129" s="123">
        <f t="shared" si="61"/>
        <v>0</v>
      </c>
      <c r="R129" s="123">
        <f t="shared" si="61"/>
        <v>0</v>
      </c>
      <c r="S129" s="123">
        <f t="shared" si="61"/>
        <v>0</v>
      </c>
      <c r="T129" s="123">
        <f t="shared" si="61"/>
        <v>0</v>
      </c>
      <c r="U129" s="123">
        <f t="shared" si="61"/>
        <v>0</v>
      </c>
      <c r="V129" s="123">
        <f t="shared" si="61"/>
        <v>0</v>
      </c>
      <c r="W129" s="123">
        <f t="shared" si="61"/>
        <v>0</v>
      </c>
      <c r="X129" s="123">
        <f t="shared" si="61"/>
        <v>0</v>
      </c>
      <c r="Y129" s="123">
        <f t="shared" si="61"/>
        <v>0</v>
      </c>
    </row>
    <row r="130" spans="2:25" x14ac:dyDescent="0.2">
      <c r="B130" s="129" t="s">
        <v>33</v>
      </c>
      <c r="C130" s="79">
        <f>+'Inputs Field'!D97</f>
        <v>0.2</v>
      </c>
      <c r="D130" s="34">
        <f>+'Inputs Field'!F97</f>
        <v>1</v>
      </c>
      <c r="E130" s="34">
        <f>+C130*D130*'Assumptions &amp; Costs'!E$75*(1+'Assumptions &amp; Costs'!C$81)</f>
        <v>1.254</v>
      </c>
      <c r="G130" s="123"/>
      <c r="H130" s="123">
        <f t="shared" si="62"/>
        <v>0</v>
      </c>
      <c r="I130" s="123">
        <f t="shared" si="61"/>
        <v>627</v>
      </c>
      <c r="J130" s="123">
        <f t="shared" si="61"/>
        <v>0</v>
      </c>
      <c r="K130" s="123">
        <f t="shared" si="61"/>
        <v>0</v>
      </c>
      <c r="L130" s="123">
        <f t="shared" si="61"/>
        <v>0</v>
      </c>
      <c r="M130" s="123">
        <f t="shared" si="61"/>
        <v>0</v>
      </c>
      <c r="N130" s="123">
        <f t="shared" si="61"/>
        <v>0</v>
      </c>
      <c r="O130" s="123">
        <f t="shared" si="61"/>
        <v>0</v>
      </c>
      <c r="P130" s="123">
        <f t="shared" si="61"/>
        <v>0</v>
      </c>
      <c r="Q130" s="123">
        <f t="shared" si="61"/>
        <v>0</v>
      </c>
      <c r="R130" s="123">
        <f t="shared" si="61"/>
        <v>0</v>
      </c>
      <c r="S130" s="123">
        <f t="shared" si="61"/>
        <v>0</v>
      </c>
      <c r="T130" s="123">
        <f t="shared" si="61"/>
        <v>0</v>
      </c>
      <c r="U130" s="123">
        <f t="shared" si="61"/>
        <v>0</v>
      </c>
      <c r="V130" s="123">
        <f t="shared" si="61"/>
        <v>0</v>
      </c>
      <c r="W130" s="123">
        <f t="shared" si="61"/>
        <v>0</v>
      </c>
      <c r="X130" s="123">
        <f t="shared" si="61"/>
        <v>0</v>
      </c>
      <c r="Y130" s="123">
        <f t="shared" si="61"/>
        <v>0</v>
      </c>
    </row>
    <row r="131" spans="2:25" x14ac:dyDescent="0.2">
      <c r="B131" s="129" t="s">
        <v>26</v>
      </c>
      <c r="C131" s="79">
        <f>+'Inputs Field'!D99</f>
        <v>1</v>
      </c>
      <c r="D131" s="34">
        <f>+'Inputs Field'!F99</f>
        <v>1</v>
      </c>
      <c r="E131" s="34">
        <f>+C131*D131*'Assumptions &amp; Costs'!E$76*(1+'Assumptions &amp; Costs'!C$81)</f>
        <v>5.7474999999999996</v>
      </c>
      <c r="G131" s="123"/>
      <c r="H131" s="123">
        <f t="shared" si="62"/>
        <v>0</v>
      </c>
      <c r="I131" s="123">
        <f t="shared" si="61"/>
        <v>2873.75</v>
      </c>
      <c r="J131" s="123">
        <f t="shared" si="61"/>
        <v>0</v>
      </c>
      <c r="K131" s="123">
        <f t="shared" si="61"/>
        <v>0</v>
      </c>
      <c r="L131" s="123">
        <f t="shared" si="61"/>
        <v>0</v>
      </c>
      <c r="M131" s="123">
        <f t="shared" si="61"/>
        <v>0</v>
      </c>
      <c r="N131" s="123">
        <f t="shared" si="61"/>
        <v>0</v>
      </c>
      <c r="O131" s="123">
        <f t="shared" si="61"/>
        <v>0</v>
      </c>
      <c r="P131" s="123">
        <f t="shared" si="61"/>
        <v>0</v>
      </c>
      <c r="Q131" s="123">
        <f t="shared" si="61"/>
        <v>0</v>
      </c>
      <c r="R131" s="123">
        <f t="shared" si="61"/>
        <v>0</v>
      </c>
      <c r="S131" s="123">
        <f t="shared" si="61"/>
        <v>0</v>
      </c>
      <c r="T131" s="123">
        <f t="shared" si="61"/>
        <v>0</v>
      </c>
      <c r="U131" s="123">
        <f t="shared" si="61"/>
        <v>0</v>
      </c>
      <c r="V131" s="123">
        <f t="shared" si="61"/>
        <v>0</v>
      </c>
      <c r="W131" s="123">
        <f t="shared" si="61"/>
        <v>0</v>
      </c>
      <c r="X131" s="123">
        <f t="shared" si="61"/>
        <v>0</v>
      </c>
      <c r="Y131" s="123">
        <f t="shared" si="61"/>
        <v>0</v>
      </c>
    </row>
    <row r="132" spans="2:25" x14ac:dyDescent="0.2">
      <c r="B132" s="129" t="s">
        <v>31</v>
      </c>
      <c r="C132" s="79">
        <f>+'Inputs Field'!D100</f>
        <v>1</v>
      </c>
      <c r="D132" s="34">
        <f>+'Inputs Field'!F100</f>
        <v>1</v>
      </c>
      <c r="E132" s="34">
        <f>+C132*D132*'Assumptions &amp; Costs'!E$76*(1+'Assumptions &amp; Costs'!C$81)</f>
        <v>5.7474999999999996</v>
      </c>
      <c r="G132" s="123"/>
      <c r="H132" s="123">
        <f t="shared" si="62"/>
        <v>0</v>
      </c>
      <c r="I132" s="123">
        <f t="shared" si="61"/>
        <v>2873.75</v>
      </c>
      <c r="J132" s="123">
        <f t="shared" si="61"/>
        <v>0</v>
      </c>
      <c r="K132" s="123">
        <f t="shared" si="61"/>
        <v>0</v>
      </c>
      <c r="L132" s="123">
        <f t="shared" si="61"/>
        <v>0</v>
      </c>
      <c r="M132" s="123">
        <f t="shared" si="61"/>
        <v>0</v>
      </c>
      <c r="N132" s="123">
        <f t="shared" si="61"/>
        <v>0</v>
      </c>
      <c r="O132" s="123">
        <f t="shared" si="61"/>
        <v>0</v>
      </c>
      <c r="P132" s="123">
        <f t="shared" si="61"/>
        <v>0</v>
      </c>
      <c r="Q132" s="123">
        <f t="shared" si="61"/>
        <v>0</v>
      </c>
      <c r="R132" s="123">
        <f t="shared" si="61"/>
        <v>0</v>
      </c>
      <c r="S132" s="123">
        <f t="shared" si="61"/>
        <v>0</v>
      </c>
      <c r="T132" s="123">
        <f t="shared" si="61"/>
        <v>0</v>
      </c>
      <c r="U132" s="123">
        <f t="shared" si="61"/>
        <v>0</v>
      </c>
      <c r="V132" s="123">
        <f t="shared" si="61"/>
        <v>0</v>
      </c>
      <c r="W132" s="123">
        <f t="shared" si="61"/>
        <v>0</v>
      </c>
      <c r="X132" s="123">
        <f t="shared" si="61"/>
        <v>0</v>
      </c>
      <c r="Y132" s="123">
        <f t="shared" si="61"/>
        <v>0</v>
      </c>
    </row>
    <row r="133" spans="2:25" x14ac:dyDescent="0.2">
      <c r="B133" s="129" t="s">
        <v>58</v>
      </c>
      <c r="C133" s="79">
        <f>+'Inputs Field'!D101</f>
        <v>1</v>
      </c>
      <c r="D133" s="34">
        <f>+'Inputs Field'!F101</f>
        <v>1</v>
      </c>
      <c r="E133" s="34">
        <f>+C133*D133*'Assumptions &amp; Costs'!E$76*(1+'Assumptions &amp; Costs'!C$81)</f>
        <v>5.7474999999999996</v>
      </c>
      <c r="G133" s="123"/>
      <c r="H133" s="123">
        <f t="shared" si="62"/>
        <v>0</v>
      </c>
      <c r="I133" s="123">
        <f t="shared" si="61"/>
        <v>2873.75</v>
      </c>
      <c r="J133" s="123">
        <f t="shared" si="61"/>
        <v>0</v>
      </c>
      <c r="K133" s="123">
        <f t="shared" si="61"/>
        <v>0</v>
      </c>
      <c r="L133" s="123">
        <f t="shared" si="61"/>
        <v>0</v>
      </c>
      <c r="M133" s="123">
        <f t="shared" si="61"/>
        <v>0</v>
      </c>
      <c r="N133" s="123">
        <f t="shared" si="61"/>
        <v>0</v>
      </c>
      <c r="O133" s="123">
        <f t="shared" si="61"/>
        <v>0</v>
      </c>
      <c r="P133" s="123">
        <f t="shared" si="61"/>
        <v>0</v>
      </c>
      <c r="Q133" s="123">
        <f t="shared" si="61"/>
        <v>0</v>
      </c>
      <c r="R133" s="123">
        <f t="shared" si="61"/>
        <v>0</v>
      </c>
      <c r="S133" s="123">
        <f t="shared" si="61"/>
        <v>0</v>
      </c>
      <c r="T133" s="123">
        <f t="shared" si="61"/>
        <v>0</v>
      </c>
      <c r="U133" s="123">
        <f t="shared" si="61"/>
        <v>0</v>
      </c>
      <c r="V133" s="123">
        <f t="shared" si="61"/>
        <v>0</v>
      </c>
      <c r="W133" s="123">
        <f t="shared" si="61"/>
        <v>0</v>
      </c>
      <c r="X133" s="123">
        <f t="shared" si="61"/>
        <v>0</v>
      </c>
      <c r="Y133" s="123">
        <f t="shared" si="61"/>
        <v>0</v>
      </c>
    </row>
    <row r="134" spans="2:25" x14ac:dyDescent="0.2">
      <c r="B134" s="129" t="s">
        <v>46</v>
      </c>
      <c r="C134" s="76">
        <f>+'Inputs Field'!D104</f>
        <v>0.1</v>
      </c>
      <c r="D134" s="34"/>
      <c r="E134" s="34">
        <f>SUMPRODUCT(C$126:C$133,D$126:D$133)*C134*'Assumptions &amp; Costs'!E78*(1+'Assumptions &amp; Costs'!C$81)</f>
        <v>15.047999999999998</v>
      </c>
      <c r="G134" s="123"/>
      <c r="H134" s="123">
        <f t="shared" si="62"/>
        <v>0</v>
      </c>
      <c r="I134" s="123">
        <f t="shared" si="61"/>
        <v>7523.9999999999991</v>
      </c>
      <c r="J134" s="123">
        <f t="shared" si="61"/>
        <v>0</v>
      </c>
      <c r="K134" s="123">
        <f t="shared" si="61"/>
        <v>0</v>
      </c>
      <c r="L134" s="123">
        <f t="shared" si="61"/>
        <v>0</v>
      </c>
      <c r="M134" s="123">
        <f t="shared" si="61"/>
        <v>0</v>
      </c>
      <c r="N134" s="123">
        <f t="shared" si="61"/>
        <v>0</v>
      </c>
      <c r="O134" s="123">
        <f t="shared" si="61"/>
        <v>0</v>
      </c>
      <c r="P134" s="123">
        <f t="shared" si="61"/>
        <v>0</v>
      </c>
      <c r="Q134" s="123">
        <f t="shared" si="61"/>
        <v>0</v>
      </c>
      <c r="R134" s="123">
        <f t="shared" si="61"/>
        <v>0</v>
      </c>
      <c r="S134" s="123">
        <f t="shared" si="61"/>
        <v>0</v>
      </c>
      <c r="T134" s="123">
        <f t="shared" si="61"/>
        <v>0</v>
      </c>
      <c r="U134" s="123">
        <f t="shared" si="61"/>
        <v>0</v>
      </c>
      <c r="V134" s="123">
        <f t="shared" si="61"/>
        <v>0</v>
      </c>
      <c r="W134" s="123">
        <f t="shared" si="61"/>
        <v>0</v>
      </c>
      <c r="X134" s="123">
        <f t="shared" si="61"/>
        <v>0</v>
      </c>
      <c r="Y134" s="123">
        <f t="shared" si="61"/>
        <v>0</v>
      </c>
    </row>
    <row r="135" spans="2:25" x14ac:dyDescent="0.2">
      <c r="B135" s="129" t="s">
        <v>47</v>
      </c>
      <c r="C135" s="76">
        <f>+'Inputs Field'!D105</f>
        <v>0.05</v>
      </c>
      <c r="D135" s="34"/>
      <c r="E135" s="34">
        <f>SUMPRODUCT(C$126:C$133,D$126:D$133)*C135*'Assumptions &amp; Costs'!E79*(1+'Assumptions &amp; Costs'!C$81)</f>
        <v>28.938461538461539</v>
      </c>
      <c r="G135" s="123"/>
      <c r="H135" s="123">
        <f t="shared" si="62"/>
        <v>0</v>
      </c>
      <c r="I135" s="123">
        <f t="shared" si="61"/>
        <v>14469.23076923077</v>
      </c>
      <c r="J135" s="123">
        <f t="shared" si="61"/>
        <v>0</v>
      </c>
      <c r="K135" s="123">
        <f t="shared" si="61"/>
        <v>0</v>
      </c>
      <c r="L135" s="123">
        <f t="shared" si="61"/>
        <v>0</v>
      </c>
      <c r="M135" s="123">
        <f t="shared" si="61"/>
        <v>0</v>
      </c>
      <c r="N135" s="123">
        <f t="shared" si="61"/>
        <v>0</v>
      </c>
      <c r="O135" s="123">
        <f t="shared" si="61"/>
        <v>0</v>
      </c>
      <c r="P135" s="123">
        <f t="shared" si="61"/>
        <v>0</v>
      </c>
      <c r="Q135" s="123">
        <f t="shared" si="61"/>
        <v>0</v>
      </c>
      <c r="R135" s="123">
        <f t="shared" si="61"/>
        <v>0</v>
      </c>
      <c r="S135" s="123">
        <f t="shared" si="61"/>
        <v>0</v>
      </c>
      <c r="T135" s="123">
        <f t="shared" si="61"/>
        <v>0</v>
      </c>
      <c r="U135" s="123">
        <f t="shared" si="61"/>
        <v>0</v>
      </c>
      <c r="V135" s="123">
        <f t="shared" si="61"/>
        <v>0</v>
      </c>
      <c r="W135" s="123">
        <f t="shared" si="61"/>
        <v>0</v>
      </c>
      <c r="X135" s="123">
        <f t="shared" si="61"/>
        <v>0</v>
      </c>
      <c r="Y135" s="123">
        <f t="shared" si="61"/>
        <v>0</v>
      </c>
    </row>
    <row r="136" spans="2:25" x14ac:dyDescent="0.2">
      <c r="B136" s="1" t="s">
        <v>1</v>
      </c>
      <c r="C136" s="34"/>
      <c r="D136" s="34"/>
      <c r="E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</row>
    <row r="137" spans="2:25" x14ac:dyDescent="0.2">
      <c r="B137" s="129" t="s">
        <v>239</v>
      </c>
      <c r="C137" s="78">
        <f>+'Inputs Field'!H92</f>
        <v>1</v>
      </c>
      <c r="D137" s="34">
        <f>+'Inputs Field'!F92</f>
        <v>4</v>
      </c>
      <c r="E137" s="34">
        <f>+C137*D137*'Assumptions &amp; Costs'!C65</f>
        <v>40</v>
      </c>
      <c r="G137" s="123"/>
      <c r="H137" s="123">
        <f t="shared" ref="H137:W139" si="63">+$E137*F$18</f>
        <v>0</v>
      </c>
      <c r="I137" s="123">
        <f t="shared" si="63"/>
        <v>20000</v>
      </c>
      <c r="J137" s="123">
        <f t="shared" si="63"/>
        <v>0</v>
      </c>
      <c r="K137" s="123">
        <f t="shared" si="63"/>
        <v>0</v>
      </c>
      <c r="L137" s="123">
        <f t="shared" si="63"/>
        <v>0</v>
      </c>
      <c r="M137" s="123">
        <f t="shared" si="63"/>
        <v>0</v>
      </c>
      <c r="N137" s="123">
        <f t="shared" si="63"/>
        <v>0</v>
      </c>
      <c r="O137" s="123">
        <f t="shared" si="63"/>
        <v>0</v>
      </c>
      <c r="P137" s="123">
        <f t="shared" si="63"/>
        <v>0</v>
      </c>
      <c r="Q137" s="123">
        <f t="shared" si="63"/>
        <v>0</v>
      </c>
      <c r="R137" s="123">
        <f t="shared" si="63"/>
        <v>0</v>
      </c>
      <c r="S137" s="123">
        <f t="shared" si="63"/>
        <v>0</v>
      </c>
      <c r="T137" s="123">
        <f t="shared" si="63"/>
        <v>0</v>
      </c>
      <c r="U137" s="123">
        <f t="shared" si="63"/>
        <v>0</v>
      </c>
      <c r="V137" s="123">
        <f t="shared" si="63"/>
        <v>0</v>
      </c>
      <c r="W137" s="123">
        <f t="shared" si="63"/>
        <v>0</v>
      </c>
      <c r="X137" s="123">
        <f t="shared" ref="R137:Y139" si="64">+$E137*V$18</f>
        <v>0</v>
      </c>
      <c r="Y137" s="123">
        <f t="shared" si="64"/>
        <v>0</v>
      </c>
    </row>
    <row r="138" spans="2:25" x14ac:dyDescent="0.2">
      <c r="B138" s="129" t="s">
        <v>232</v>
      </c>
      <c r="C138" s="78">
        <f>+'Inputs Field'!H94</f>
        <v>2.5</v>
      </c>
      <c r="D138" s="34">
        <f>+'Inputs Field'!F94</f>
        <v>2</v>
      </c>
      <c r="E138" s="34">
        <f>+C138*D138*'Inputs Field'!H43*('Assumptions &amp; Costs'!C68+'Assumptions &amp; Costs'!C72)/1000</f>
        <v>420.80078643749988</v>
      </c>
      <c r="G138" s="123"/>
      <c r="H138" s="123">
        <f t="shared" si="63"/>
        <v>0</v>
      </c>
      <c r="I138" s="123">
        <f t="shared" si="63"/>
        <v>210400.39321874993</v>
      </c>
      <c r="J138" s="123">
        <f t="shared" si="63"/>
        <v>0</v>
      </c>
      <c r="K138" s="123">
        <f t="shared" si="63"/>
        <v>0</v>
      </c>
      <c r="L138" s="123">
        <f t="shared" si="63"/>
        <v>0</v>
      </c>
      <c r="M138" s="123">
        <f t="shared" si="63"/>
        <v>0</v>
      </c>
      <c r="N138" s="123">
        <f t="shared" si="63"/>
        <v>0</v>
      </c>
      <c r="O138" s="123">
        <f t="shared" si="63"/>
        <v>0</v>
      </c>
      <c r="P138" s="123">
        <f t="shared" si="63"/>
        <v>0</v>
      </c>
      <c r="Q138" s="123">
        <f t="shared" si="63"/>
        <v>0</v>
      </c>
      <c r="R138" s="123">
        <f t="shared" si="64"/>
        <v>0</v>
      </c>
      <c r="S138" s="123">
        <f t="shared" si="64"/>
        <v>0</v>
      </c>
      <c r="T138" s="123">
        <f t="shared" si="64"/>
        <v>0</v>
      </c>
      <c r="U138" s="123">
        <f t="shared" si="64"/>
        <v>0</v>
      </c>
      <c r="V138" s="123">
        <f t="shared" si="64"/>
        <v>0</v>
      </c>
      <c r="W138" s="123">
        <f t="shared" si="64"/>
        <v>0</v>
      </c>
      <c r="X138" s="123">
        <f t="shared" si="64"/>
        <v>0</v>
      </c>
      <c r="Y138" s="123">
        <f t="shared" si="64"/>
        <v>0</v>
      </c>
    </row>
    <row r="139" spans="2:25" x14ac:dyDescent="0.2">
      <c r="B139" s="129" t="s">
        <v>240</v>
      </c>
      <c r="C139" s="78"/>
      <c r="D139" s="34"/>
      <c r="E139" s="34">
        <f>+'Inputs Field'!H97</f>
        <v>10</v>
      </c>
      <c r="G139" s="123"/>
      <c r="H139" s="123">
        <f t="shared" si="63"/>
        <v>0</v>
      </c>
      <c r="I139" s="123">
        <f t="shared" si="63"/>
        <v>5000</v>
      </c>
      <c r="J139" s="123">
        <f t="shared" si="63"/>
        <v>0</v>
      </c>
      <c r="K139" s="123">
        <f t="shared" si="63"/>
        <v>0</v>
      </c>
      <c r="L139" s="123">
        <f t="shared" si="63"/>
        <v>0</v>
      </c>
      <c r="M139" s="123">
        <f t="shared" si="63"/>
        <v>0</v>
      </c>
      <c r="N139" s="123">
        <f t="shared" si="63"/>
        <v>0</v>
      </c>
      <c r="O139" s="123">
        <f t="shared" si="63"/>
        <v>0</v>
      </c>
      <c r="P139" s="123">
        <f t="shared" si="63"/>
        <v>0</v>
      </c>
      <c r="Q139" s="123">
        <f t="shared" si="63"/>
        <v>0</v>
      </c>
      <c r="R139" s="123">
        <f t="shared" si="64"/>
        <v>0</v>
      </c>
      <c r="S139" s="123">
        <f t="shared" si="64"/>
        <v>0</v>
      </c>
      <c r="T139" s="123">
        <f t="shared" si="64"/>
        <v>0</v>
      </c>
      <c r="U139" s="123">
        <f t="shared" si="64"/>
        <v>0</v>
      </c>
      <c r="V139" s="123">
        <f t="shared" si="64"/>
        <v>0</v>
      </c>
      <c r="W139" s="123">
        <f t="shared" si="64"/>
        <v>0</v>
      </c>
      <c r="X139" s="123">
        <f t="shared" si="64"/>
        <v>0</v>
      </c>
      <c r="Y139" s="123">
        <f t="shared" si="64"/>
        <v>0</v>
      </c>
    </row>
    <row r="140" spans="2:25" x14ac:dyDescent="0.2">
      <c r="B140" s="1" t="s">
        <v>101</v>
      </c>
      <c r="C140" s="34"/>
      <c r="D140" s="121" t="s">
        <v>60</v>
      </c>
      <c r="E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</row>
    <row r="141" spans="2:25" x14ac:dyDescent="0.2">
      <c r="B141" s="129" t="s">
        <v>242</v>
      </c>
      <c r="C141" s="34" t="s">
        <v>241</v>
      </c>
      <c r="D141" s="73">
        <f>+'Inputs Field'!K102</f>
        <v>0.5</v>
      </c>
      <c r="E141" s="34">
        <f>+D141*'Assumptions &amp; Costs'!D88</f>
        <v>5</v>
      </c>
      <c r="G141" s="123"/>
      <c r="H141" s="123">
        <f t="shared" ref="H141:W142" si="65">+$E141*F$18</f>
        <v>0</v>
      </c>
      <c r="I141" s="123">
        <f t="shared" si="65"/>
        <v>2500</v>
      </c>
      <c r="J141" s="123">
        <f t="shared" si="65"/>
        <v>0</v>
      </c>
      <c r="K141" s="123">
        <f t="shared" si="65"/>
        <v>0</v>
      </c>
      <c r="L141" s="123">
        <f t="shared" si="65"/>
        <v>0</v>
      </c>
      <c r="M141" s="123">
        <f t="shared" si="65"/>
        <v>0</v>
      </c>
      <c r="N141" s="123">
        <f t="shared" si="65"/>
        <v>0</v>
      </c>
      <c r="O141" s="123">
        <f t="shared" si="65"/>
        <v>0</v>
      </c>
      <c r="P141" s="123">
        <f t="shared" si="65"/>
        <v>0</v>
      </c>
      <c r="Q141" s="123">
        <f t="shared" si="65"/>
        <v>0</v>
      </c>
      <c r="R141" s="123">
        <f t="shared" si="65"/>
        <v>0</v>
      </c>
      <c r="S141" s="123">
        <f t="shared" si="65"/>
        <v>0</v>
      </c>
      <c r="T141" s="123">
        <f t="shared" si="65"/>
        <v>0</v>
      </c>
      <c r="U141" s="123">
        <f t="shared" si="65"/>
        <v>0</v>
      </c>
      <c r="V141" s="123">
        <f t="shared" si="65"/>
        <v>0</v>
      </c>
      <c r="W141" s="123">
        <f t="shared" si="65"/>
        <v>0</v>
      </c>
      <c r="X141" s="123">
        <f t="shared" ref="R141:Y142" si="66">+$E141*V$18</f>
        <v>0</v>
      </c>
      <c r="Y141" s="123">
        <f t="shared" si="66"/>
        <v>0</v>
      </c>
    </row>
    <row r="142" spans="2:25" x14ac:dyDescent="0.2">
      <c r="B142" s="129" t="s">
        <v>233</v>
      </c>
      <c r="C142" s="76">
        <f>+'Inputs Field'!H103</f>
        <v>0.05</v>
      </c>
      <c r="D142" s="34"/>
      <c r="E142" s="34">
        <f>SUM(E126:E133)*C142</f>
        <v>5.5750750000000009</v>
      </c>
      <c r="G142" s="123"/>
      <c r="H142" s="123">
        <f t="shared" si="65"/>
        <v>0</v>
      </c>
      <c r="I142" s="123">
        <f t="shared" si="65"/>
        <v>2787.5375000000004</v>
      </c>
      <c r="J142" s="123">
        <f t="shared" si="65"/>
        <v>0</v>
      </c>
      <c r="K142" s="123">
        <f t="shared" si="65"/>
        <v>0</v>
      </c>
      <c r="L142" s="123">
        <f t="shared" si="65"/>
        <v>0</v>
      </c>
      <c r="M142" s="123">
        <f t="shared" si="65"/>
        <v>0</v>
      </c>
      <c r="N142" s="123">
        <f t="shared" si="65"/>
        <v>0</v>
      </c>
      <c r="O142" s="123">
        <f t="shared" si="65"/>
        <v>0</v>
      </c>
      <c r="P142" s="123">
        <f t="shared" si="65"/>
        <v>0</v>
      </c>
      <c r="Q142" s="123">
        <f t="shared" si="65"/>
        <v>0</v>
      </c>
      <c r="R142" s="123">
        <f t="shared" si="66"/>
        <v>0</v>
      </c>
      <c r="S142" s="123">
        <f t="shared" si="66"/>
        <v>0</v>
      </c>
      <c r="T142" s="123">
        <f t="shared" si="66"/>
        <v>0</v>
      </c>
      <c r="U142" s="123">
        <f t="shared" si="66"/>
        <v>0</v>
      </c>
      <c r="V142" s="123">
        <f t="shared" si="66"/>
        <v>0</v>
      </c>
      <c r="W142" s="123">
        <f t="shared" si="66"/>
        <v>0</v>
      </c>
      <c r="X142" s="123">
        <f t="shared" si="66"/>
        <v>0</v>
      </c>
      <c r="Y142" s="123">
        <f t="shared" si="66"/>
        <v>0</v>
      </c>
    </row>
    <row r="143" spans="2:25" x14ac:dyDescent="0.2">
      <c r="B143" s="1" t="s">
        <v>86</v>
      </c>
      <c r="C143" s="123"/>
      <c r="D143" s="123"/>
      <c r="E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</row>
    <row r="144" spans="2:25" x14ac:dyDescent="0.2">
      <c r="B144" s="129" t="s">
        <v>234</v>
      </c>
      <c r="C144" s="123"/>
      <c r="D144" s="123"/>
      <c r="E144" s="34">
        <f>SUM(E126:E135)</f>
        <v>155.48796153846155</v>
      </c>
      <c r="G144" s="123"/>
      <c r="H144" s="77">
        <f t="shared" ref="H144:Y144" si="67">SUM(H126:H135)</f>
        <v>0</v>
      </c>
      <c r="I144" s="77">
        <f t="shared" si="67"/>
        <v>77743.980769230766</v>
      </c>
      <c r="J144" s="77">
        <f t="shared" si="67"/>
        <v>0</v>
      </c>
      <c r="K144" s="77">
        <f t="shared" si="67"/>
        <v>0</v>
      </c>
      <c r="L144" s="77">
        <f t="shared" si="67"/>
        <v>0</v>
      </c>
      <c r="M144" s="77">
        <f t="shared" si="67"/>
        <v>0</v>
      </c>
      <c r="N144" s="77">
        <f t="shared" si="67"/>
        <v>0</v>
      </c>
      <c r="O144" s="77">
        <f t="shared" si="67"/>
        <v>0</v>
      </c>
      <c r="P144" s="77">
        <f t="shared" si="67"/>
        <v>0</v>
      </c>
      <c r="Q144" s="77">
        <f t="shared" si="67"/>
        <v>0</v>
      </c>
      <c r="R144" s="77">
        <f t="shared" si="67"/>
        <v>0</v>
      </c>
      <c r="S144" s="77">
        <f t="shared" si="67"/>
        <v>0</v>
      </c>
      <c r="T144" s="77">
        <f t="shared" si="67"/>
        <v>0</v>
      </c>
      <c r="U144" s="77">
        <f t="shared" si="67"/>
        <v>0</v>
      </c>
      <c r="V144" s="77">
        <f t="shared" si="67"/>
        <v>0</v>
      </c>
      <c r="W144" s="77">
        <f t="shared" si="67"/>
        <v>0</v>
      </c>
      <c r="X144" s="77">
        <f t="shared" si="67"/>
        <v>0</v>
      </c>
      <c r="Y144" s="77">
        <f t="shared" si="67"/>
        <v>0</v>
      </c>
    </row>
    <row r="145" spans="2:25" x14ac:dyDescent="0.2">
      <c r="B145" s="129" t="s">
        <v>1</v>
      </c>
      <c r="C145" s="123"/>
      <c r="D145" s="123"/>
      <c r="E145" s="34">
        <f>SUM(E137:E139)</f>
        <v>470.80078643749988</v>
      </c>
      <c r="G145" s="123"/>
      <c r="H145" s="77">
        <f t="shared" ref="H145:Y145" si="68">SUM(H137:H139)</f>
        <v>0</v>
      </c>
      <c r="I145" s="77">
        <f t="shared" si="68"/>
        <v>235400.39321874993</v>
      </c>
      <c r="J145" s="77">
        <f t="shared" si="68"/>
        <v>0</v>
      </c>
      <c r="K145" s="77">
        <f t="shared" si="68"/>
        <v>0</v>
      </c>
      <c r="L145" s="77">
        <f t="shared" si="68"/>
        <v>0</v>
      </c>
      <c r="M145" s="77">
        <f t="shared" si="68"/>
        <v>0</v>
      </c>
      <c r="N145" s="77">
        <f t="shared" si="68"/>
        <v>0</v>
      </c>
      <c r="O145" s="77">
        <f t="shared" si="68"/>
        <v>0</v>
      </c>
      <c r="P145" s="77">
        <f t="shared" si="68"/>
        <v>0</v>
      </c>
      <c r="Q145" s="77">
        <f t="shared" si="68"/>
        <v>0</v>
      </c>
      <c r="R145" s="77">
        <f t="shared" si="68"/>
        <v>0</v>
      </c>
      <c r="S145" s="77">
        <f t="shared" si="68"/>
        <v>0</v>
      </c>
      <c r="T145" s="77">
        <f t="shared" si="68"/>
        <v>0</v>
      </c>
      <c r="U145" s="77">
        <f t="shared" si="68"/>
        <v>0</v>
      </c>
      <c r="V145" s="77">
        <f t="shared" si="68"/>
        <v>0</v>
      </c>
      <c r="W145" s="77">
        <f t="shared" si="68"/>
        <v>0</v>
      </c>
      <c r="X145" s="77">
        <f t="shared" si="68"/>
        <v>0</v>
      </c>
      <c r="Y145" s="77">
        <f t="shared" si="68"/>
        <v>0</v>
      </c>
    </row>
    <row r="146" spans="2:25" x14ac:dyDescent="0.2">
      <c r="B146" s="129" t="s">
        <v>101</v>
      </c>
      <c r="C146" s="123"/>
      <c r="D146" s="123"/>
      <c r="E146" s="34">
        <f>SUM(E141:E142)</f>
        <v>10.575075000000002</v>
      </c>
      <c r="G146" s="123"/>
      <c r="H146" s="77">
        <f t="shared" ref="H146:Y146" si="69">SUM(H141:H142)</f>
        <v>0</v>
      </c>
      <c r="I146" s="77">
        <f t="shared" si="69"/>
        <v>5287.5375000000004</v>
      </c>
      <c r="J146" s="77">
        <f t="shared" si="69"/>
        <v>0</v>
      </c>
      <c r="K146" s="77">
        <f t="shared" si="69"/>
        <v>0</v>
      </c>
      <c r="L146" s="77">
        <f t="shared" si="69"/>
        <v>0</v>
      </c>
      <c r="M146" s="77">
        <f t="shared" si="69"/>
        <v>0</v>
      </c>
      <c r="N146" s="77">
        <f t="shared" si="69"/>
        <v>0</v>
      </c>
      <c r="O146" s="77">
        <f t="shared" si="69"/>
        <v>0</v>
      </c>
      <c r="P146" s="77">
        <f t="shared" si="69"/>
        <v>0</v>
      </c>
      <c r="Q146" s="77">
        <f t="shared" si="69"/>
        <v>0</v>
      </c>
      <c r="R146" s="77">
        <f t="shared" si="69"/>
        <v>0</v>
      </c>
      <c r="S146" s="77">
        <f t="shared" si="69"/>
        <v>0</v>
      </c>
      <c r="T146" s="77">
        <f t="shared" si="69"/>
        <v>0</v>
      </c>
      <c r="U146" s="77">
        <f t="shared" si="69"/>
        <v>0</v>
      </c>
      <c r="V146" s="77">
        <f t="shared" si="69"/>
        <v>0</v>
      </c>
      <c r="W146" s="77">
        <f t="shared" si="69"/>
        <v>0</v>
      </c>
      <c r="X146" s="77">
        <f t="shared" si="69"/>
        <v>0</v>
      </c>
      <c r="Y146" s="77">
        <f t="shared" si="69"/>
        <v>0</v>
      </c>
    </row>
    <row r="147" spans="2:25" x14ac:dyDescent="0.2">
      <c r="B147" s="1" t="s">
        <v>114</v>
      </c>
      <c r="C147" s="123"/>
      <c r="D147" s="123"/>
      <c r="E147" s="34">
        <f>SUM(E144:E146)</f>
        <v>636.8638229759614</v>
      </c>
      <c r="G147" s="123"/>
      <c r="H147" s="77">
        <f t="shared" ref="H147:Y147" si="70">SUM(H144:H146)</f>
        <v>0</v>
      </c>
      <c r="I147" s="77">
        <f t="shared" si="70"/>
        <v>318431.91148798069</v>
      </c>
      <c r="J147" s="77">
        <f t="shared" si="70"/>
        <v>0</v>
      </c>
      <c r="K147" s="77">
        <f t="shared" si="70"/>
        <v>0</v>
      </c>
      <c r="L147" s="77">
        <f t="shared" si="70"/>
        <v>0</v>
      </c>
      <c r="M147" s="77">
        <f t="shared" si="70"/>
        <v>0</v>
      </c>
      <c r="N147" s="77">
        <f t="shared" si="70"/>
        <v>0</v>
      </c>
      <c r="O147" s="77">
        <f t="shared" si="70"/>
        <v>0</v>
      </c>
      <c r="P147" s="77">
        <f t="shared" si="70"/>
        <v>0</v>
      </c>
      <c r="Q147" s="77">
        <f t="shared" si="70"/>
        <v>0</v>
      </c>
      <c r="R147" s="77">
        <f t="shared" si="70"/>
        <v>0</v>
      </c>
      <c r="S147" s="77">
        <f t="shared" si="70"/>
        <v>0</v>
      </c>
      <c r="T147" s="77">
        <f t="shared" si="70"/>
        <v>0</v>
      </c>
      <c r="U147" s="77">
        <f t="shared" si="70"/>
        <v>0</v>
      </c>
      <c r="V147" s="77">
        <f t="shared" si="70"/>
        <v>0</v>
      </c>
      <c r="W147" s="77">
        <f t="shared" si="70"/>
        <v>0</v>
      </c>
      <c r="X147" s="77">
        <f t="shared" si="70"/>
        <v>0</v>
      </c>
      <c r="Y147" s="77">
        <f t="shared" si="70"/>
        <v>0</v>
      </c>
    </row>
    <row r="148" spans="2:25" x14ac:dyDescent="0.2">
      <c r="C148" s="123"/>
      <c r="D148" s="123"/>
      <c r="E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</row>
    <row r="149" spans="2:25" x14ac:dyDescent="0.2">
      <c r="B149" s="1" t="s">
        <v>465</v>
      </c>
      <c r="C149" s="123"/>
      <c r="D149" s="123"/>
      <c r="E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</row>
    <row r="150" spans="2:25" x14ac:dyDescent="0.2">
      <c r="B150" s="1" t="s">
        <v>0</v>
      </c>
      <c r="C150" s="75" t="s">
        <v>229</v>
      </c>
      <c r="D150" s="75" t="s">
        <v>230</v>
      </c>
      <c r="E150" s="75" t="s">
        <v>460</v>
      </c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</row>
    <row r="151" spans="2:25" x14ac:dyDescent="0.2">
      <c r="B151" s="129" t="s">
        <v>24</v>
      </c>
      <c r="C151" s="79">
        <f>+'Inputs Field'!D113</f>
        <v>0.5</v>
      </c>
      <c r="D151" s="34">
        <f>+'Inputs Field'!F113</f>
        <v>1</v>
      </c>
      <c r="E151" s="34">
        <f>+C151*D151*'Assumptions &amp; Costs'!E$75*(1+'Assumptions &amp; Costs'!C$81)</f>
        <v>3.1349999999999998</v>
      </c>
      <c r="H151" s="123"/>
      <c r="I151" s="123">
        <f>+$E151*F$18</f>
        <v>0</v>
      </c>
      <c r="J151" s="123">
        <f t="shared" ref="J151:Y161" si="71">+$E151*G$18</f>
        <v>1567.5</v>
      </c>
      <c r="K151" s="123">
        <f t="shared" si="71"/>
        <v>0</v>
      </c>
      <c r="L151" s="123">
        <f t="shared" si="71"/>
        <v>0</v>
      </c>
      <c r="M151" s="123">
        <f t="shared" si="71"/>
        <v>0</v>
      </c>
      <c r="N151" s="123">
        <f t="shared" si="71"/>
        <v>0</v>
      </c>
      <c r="O151" s="123">
        <f t="shared" si="71"/>
        <v>0</v>
      </c>
      <c r="P151" s="123">
        <f t="shared" si="71"/>
        <v>0</v>
      </c>
      <c r="Q151" s="123">
        <f t="shared" si="71"/>
        <v>0</v>
      </c>
      <c r="R151" s="123">
        <f t="shared" si="71"/>
        <v>0</v>
      </c>
      <c r="S151" s="123">
        <f t="shared" si="71"/>
        <v>0</v>
      </c>
      <c r="T151" s="123">
        <f t="shared" si="71"/>
        <v>0</v>
      </c>
      <c r="U151" s="123">
        <f t="shared" si="71"/>
        <v>0</v>
      </c>
      <c r="V151" s="123">
        <f t="shared" si="71"/>
        <v>0</v>
      </c>
      <c r="W151" s="123">
        <f t="shared" si="71"/>
        <v>0</v>
      </c>
      <c r="X151" s="123">
        <f t="shared" si="71"/>
        <v>0</v>
      </c>
      <c r="Y151" s="123">
        <f t="shared" si="71"/>
        <v>0</v>
      </c>
    </row>
    <row r="152" spans="2:25" x14ac:dyDescent="0.2">
      <c r="B152" s="129" t="s">
        <v>23</v>
      </c>
      <c r="C152" s="79">
        <f>+'Inputs Field'!D114</f>
        <v>2</v>
      </c>
      <c r="D152" s="34">
        <f>+'Inputs Field'!F114</f>
        <v>3</v>
      </c>
      <c r="E152" s="34">
        <f>+C152*D152*'Assumptions &amp; Costs'!E$76*(1+'Assumptions &amp; Costs'!C$81)</f>
        <v>34.484999999999999</v>
      </c>
      <c r="H152" s="123"/>
      <c r="I152" s="123">
        <f t="shared" ref="I152:I161" si="72">+$E152*F$18</f>
        <v>0</v>
      </c>
      <c r="J152" s="123">
        <f t="shared" si="71"/>
        <v>17242.5</v>
      </c>
      <c r="K152" s="123">
        <f t="shared" si="71"/>
        <v>0</v>
      </c>
      <c r="L152" s="123">
        <f t="shared" si="71"/>
        <v>0</v>
      </c>
      <c r="M152" s="123">
        <f t="shared" si="71"/>
        <v>0</v>
      </c>
      <c r="N152" s="123">
        <f t="shared" si="71"/>
        <v>0</v>
      </c>
      <c r="O152" s="123">
        <f t="shared" si="71"/>
        <v>0</v>
      </c>
      <c r="P152" s="123">
        <f t="shared" si="71"/>
        <v>0</v>
      </c>
      <c r="Q152" s="123">
        <f t="shared" si="71"/>
        <v>0</v>
      </c>
      <c r="R152" s="123">
        <f t="shared" si="71"/>
        <v>0</v>
      </c>
      <c r="S152" s="123">
        <f t="shared" si="71"/>
        <v>0</v>
      </c>
      <c r="T152" s="123">
        <f t="shared" si="71"/>
        <v>0</v>
      </c>
      <c r="U152" s="123">
        <f t="shared" si="71"/>
        <v>0</v>
      </c>
      <c r="V152" s="123">
        <f t="shared" si="71"/>
        <v>0</v>
      </c>
      <c r="W152" s="123">
        <f t="shared" si="71"/>
        <v>0</v>
      </c>
      <c r="X152" s="123">
        <f t="shared" si="71"/>
        <v>0</v>
      </c>
      <c r="Y152" s="123">
        <f t="shared" si="71"/>
        <v>0</v>
      </c>
    </row>
    <row r="153" spans="2:25" x14ac:dyDescent="0.2">
      <c r="B153" s="129" t="s">
        <v>13</v>
      </c>
      <c r="C153" s="79">
        <f>+'Inputs Field'!D115</f>
        <v>1</v>
      </c>
      <c r="D153" s="34">
        <f>+'Inputs Field'!F115</f>
        <v>2</v>
      </c>
      <c r="E153" s="34">
        <f>+C153*D153*'Assumptions &amp; Costs'!E$76*(1+'Assumptions &amp; Costs'!C$81)</f>
        <v>11.494999999999999</v>
      </c>
      <c r="H153" s="123"/>
      <c r="I153" s="123">
        <f t="shared" si="72"/>
        <v>0</v>
      </c>
      <c r="J153" s="123">
        <f t="shared" si="71"/>
        <v>5747.5</v>
      </c>
      <c r="K153" s="123">
        <f t="shared" si="71"/>
        <v>0</v>
      </c>
      <c r="L153" s="123">
        <f t="shared" si="71"/>
        <v>0</v>
      </c>
      <c r="M153" s="123">
        <f t="shared" si="71"/>
        <v>0</v>
      </c>
      <c r="N153" s="123">
        <f t="shared" si="71"/>
        <v>0</v>
      </c>
      <c r="O153" s="123">
        <f t="shared" si="71"/>
        <v>0</v>
      </c>
      <c r="P153" s="123">
        <f t="shared" si="71"/>
        <v>0</v>
      </c>
      <c r="Q153" s="123">
        <f t="shared" si="71"/>
        <v>0</v>
      </c>
      <c r="R153" s="123">
        <f t="shared" si="71"/>
        <v>0</v>
      </c>
      <c r="S153" s="123">
        <f t="shared" si="71"/>
        <v>0</v>
      </c>
      <c r="T153" s="123">
        <f t="shared" si="71"/>
        <v>0</v>
      </c>
      <c r="U153" s="123">
        <f t="shared" si="71"/>
        <v>0</v>
      </c>
      <c r="V153" s="123">
        <f t="shared" si="71"/>
        <v>0</v>
      </c>
      <c r="W153" s="123">
        <f t="shared" si="71"/>
        <v>0</v>
      </c>
      <c r="X153" s="123">
        <f t="shared" si="71"/>
        <v>0</v>
      </c>
      <c r="Y153" s="123">
        <f t="shared" si="71"/>
        <v>0</v>
      </c>
    </row>
    <row r="154" spans="2:25" x14ac:dyDescent="0.2">
      <c r="B154" s="129" t="s">
        <v>32</v>
      </c>
      <c r="C154" s="79">
        <f>+'Inputs Field'!D116</f>
        <v>2</v>
      </c>
      <c r="D154" s="34">
        <f>+'Inputs Field'!F116</f>
        <v>1</v>
      </c>
      <c r="E154" s="34">
        <f>+C154*D154*'Assumptions &amp; Costs'!E$76*(1+'Assumptions &amp; Costs'!C$81)</f>
        <v>11.494999999999999</v>
      </c>
      <c r="H154" s="123"/>
      <c r="I154" s="123">
        <f t="shared" si="72"/>
        <v>0</v>
      </c>
      <c r="J154" s="123">
        <f t="shared" si="71"/>
        <v>5747.5</v>
      </c>
      <c r="K154" s="123">
        <f t="shared" si="71"/>
        <v>0</v>
      </c>
      <c r="L154" s="123">
        <f t="shared" si="71"/>
        <v>0</v>
      </c>
      <c r="M154" s="123">
        <f t="shared" si="71"/>
        <v>0</v>
      </c>
      <c r="N154" s="123">
        <f t="shared" si="71"/>
        <v>0</v>
      </c>
      <c r="O154" s="123">
        <f t="shared" si="71"/>
        <v>0</v>
      </c>
      <c r="P154" s="123">
        <f t="shared" si="71"/>
        <v>0</v>
      </c>
      <c r="Q154" s="123">
        <f t="shared" si="71"/>
        <v>0</v>
      </c>
      <c r="R154" s="123">
        <f t="shared" si="71"/>
        <v>0</v>
      </c>
      <c r="S154" s="123">
        <f t="shared" si="71"/>
        <v>0</v>
      </c>
      <c r="T154" s="123">
        <f t="shared" si="71"/>
        <v>0</v>
      </c>
      <c r="U154" s="123">
        <f t="shared" si="71"/>
        <v>0</v>
      </c>
      <c r="V154" s="123">
        <f t="shared" si="71"/>
        <v>0</v>
      </c>
      <c r="W154" s="123">
        <f t="shared" si="71"/>
        <v>0</v>
      </c>
      <c r="X154" s="123">
        <f t="shared" si="71"/>
        <v>0</v>
      </c>
      <c r="Y154" s="123">
        <f t="shared" si="71"/>
        <v>0</v>
      </c>
    </row>
    <row r="155" spans="2:25" x14ac:dyDescent="0.2">
      <c r="B155" s="129" t="s">
        <v>34</v>
      </c>
      <c r="C155" s="79">
        <f>+'Inputs Field'!D117</f>
        <v>0.5</v>
      </c>
      <c r="D155" s="34">
        <f>+'Inputs Field'!F117</f>
        <v>6</v>
      </c>
      <c r="E155" s="34">
        <f>+C155*D155*'Assumptions &amp; Costs'!E$76*(1+'Assumptions &amp; Costs'!C$81)</f>
        <v>17.2425</v>
      </c>
      <c r="H155" s="123"/>
      <c r="I155" s="123">
        <f t="shared" si="72"/>
        <v>0</v>
      </c>
      <c r="J155" s="123">
        <f t="shared" si="71"/>
        <v>8621.25</v>
      </c>
      <c r="K155" s="123">
        <f t="shared" si="71"/>
        <v>0</v>
      </c>
      <c r="L155" s="123">
        <f t="shared" si="71"/>
        <v>0</v>
      </c>
      <c r="M155" s="123">
        <f t="shared" si="71"/>
        <v>0</v>
      </c>
      <c r="N155" s="123">
        <f t="shared" si="71"/>
        <v>0</v>
      </c>
      <c r="O155" s="123">
        <f t="shared" si="71"/>
        <v>0</v>
      </c>
      <c r="P155" s="123">
        <f t="shared" si="71"/>
        <v>0</v>
      </c>
      <c r="Q155" s="123">
        <f t="shared" si="71"/>
        <v>0</v>
      </c>
      <c r="R155" s="123">
        <f t="shared" si="71"/>
        <v>0</v>
      </c>
      <c r="S155" s="123">
        <f t="shared" si="71"/>
        <v>0</v>
      </c>
      <c r="T155" s="123">
        <f t="shared" si="71"/>
        <v>0</v>
      </c>
      <c r="U155" s="123">
        <f t="shared" si="71"/>
        <v>0</v>
      </c>
      <c r="V155" s="123">
        <f t="shared" si="71"/>
        <v>0</v>
      </c>
      <c r="W155" s="123">
        <f t="shared" si="71"/>
        <v>0</v>
      </c>
      <c r="X155" s="123">
        <f t="shared" si="71"/>
        <v>0</v>
      </c>
      <c r="Y155" s="123">
        <f t="shared" si="71"/>
        <v>0</v>
      </c>
    </row>
    <row r="156" spans="2:25" x14ac:dyDescent="0.2">
      <c r="B156" s="129" t="s">
        <v>33</v>
      </c>
      <c r="C156" s="79">
        <f>+'Inputs Field'!D118</f>
        <v>0.2</v>
      </c>
      <c r="D156" s="34">
        <f>+'Inputs Field'!F118</f>
        <v>1</v>
      </c>
      <c r="E156" s="34">
        <f>+C156*D156*'Assumptions &amp; Costs'!E$75*(1+'Assumptions &amp; Costs'!C$81)</f>
        <v>1.254</v>
      </c>
      <c r="H156" s="123"/>
      <c r="I156" s="123">
        <f t="shared" si="72"/>
        <v>0</v>
      </c>
      <c r="J156" s="123">
        <f t="shared" si="71"/>
        <v>627</v>
      </c>
      <c r="K156" s="123">
        <f t="shared" si="71"/>
        <v>0</v>
      </c>
      <c r="L156" s="123">
        <f t="shared" si="71"/>
        <v>0</v>
      </c>
      <c r="M156" s="123">
        <f t="shared" si="71"/>
        <v>0</v>
      </c>
      <c r="N156" s="123">
        <f t="shared" si="71"/>
        <v>0</v>
      </c>
      <c r="O156" s="123">
        <f t="shared" si="71"/>
        <v>0</v>
      </c>
      <c r="P156" s="123">
        <f t="shared" si="71"/>
        <v>0</v>
      </c>
      <c r="Q156" s="123">
        <f t="shared" si="71"/>
        <v>0</v>
      </c>
      <c r="R156" s="123">
        <f t="shared" si="71"/>
        <v>0</v>
      </c>
      <c r="S156" s="123">
        <f t="shared" si="71"/>
        <v>0</v>
      </c>
      <c r="T156" s="123">
        <f t="shared" si="71"/>
        <v>0</v>
      </c>
      <c r="U156" s="123">
        <f t="shared" si="71"/>
        <v>0</v>
      </c>
      <c r="V156" s="123">
        <f t="shared" si="71"/>
        <v>0</v>
      </c>
      <c r="W156" s="123">
        <f t="shared" si="71"/>
        <v>0</v>
      </c>
      <c r="X156" s="123">
        <f t="shared" si="71"/>
        <v>0</v>
      </c>
      <c r="Y156" s="123">
        <f t="shared" si="71"/>
        <v>0</v>
      </c>
    </row>
    <row r="157" spans="2:25" x14ac:dyDescent="0.2">
      <c r="B157" s="129" t="s">
        <v>26</v>
      </c>
      <c r="C157" s="79">
        <f>+'Inputs Field'!D120</f>
        <v>0.5</v>
      </c>
      <c r="D157" s="34">
        <f>+'Inputs Field'!F120</f>
        <v>1</v>
      </c>
      <c r="E157" s="34">
        <f>+C157*D157*'Assumptions &amp; Costs'!E$76*(1+'Assumptions &amp; Costs'!C$81)</f>
        <v>2.8737499999999998</v>
      </c>
      <c r="H157" s="123"/>
      <c r="I157" s="123">
        <f t="shared" si="72"/>
        <v>0</v>
      </c>
      <c r="J157" s="123">
        <f t="shared" si="71"/>
        <v>1436.875</v>
      </c>
      <c r="K157" s="123">
        <f t="shared" si="71"/>
        <v>0</v>
      </c>
      <c r="L157" s="123">
        <f t="shared" si="71"/>
        <v>0</v>
      </c>
      <c r="M157" s="123">
        <f t="shared" si="71"/>
        <v>0</v>
      </c>
      <c r="N157" s="123">
        <f t="shared" si="71"/>
        <v>0</v>
      </c>
      <c r="O157" s="123">
        <f t="shared" si="71"/>
        <v>0</v>
      </c>
      <c r="P157" s="123">
        <f t="shared" si="71"/>
        <v>0</v>
      </c>
      <c r="Q157" s="123">
        <f t="shared" si="71"/>
        <v>0</v>
      </c>
      <c r="R157" s="123">
        <f t="shared" si="71"/>
        <v>0</v>
      </c>
      <c r="S157" s="123">
        <f t="shared" si="71"/>
        <v>0</v>
      </c>
      <c r="T157" s="123">
        <f t="shared" si="71"/>
        <v>0</v>
      </c>
      <c r="U157" s="123">
        <f t="shared" si="71"/>
        <v>0</v>
      </c>
      <c r="V157" s="123">
        <f t="shared" si="71"/>
        <v>0</v>
      </c>
      <c r="W157" s="123">
        <f t="shared" si="71"/>
        <v>0</v>
      </c>
      <c r="X157" s="123">
        <f t="shared" si="71"/>
        <v>0</v>
      </c>
      <c r="Y157" s="123">
        <f t="shared" si="71"/>
        <v>0</v>
      </c>
    </row>
    <row r="158" spans="2:25" x14ac:dyDescent="0.2">
      <c r="B158" s="129" t="s">
        <v>31</v>
      </c>
      <c r="C158" s="79">
        <f>+'Inputs Field'!D121</f>
        <v>0.5</v>
      </c>
      <c r="D158" s="34">
        <f>+'Inputs Field'!F121</f>
        <v>1</v>
      </c>
      <c r="E158" s="34">
        <f>+C158*D158*'Assumptions &amp; Costs'!E$76*(1+'Assumptions &amp; Costs'!C$81)</f>
        <v>2.8737499999999998</v>
      </c>
      <c r="H158" s="123"/>
      <c r="I158" s="123">
        <f t="shared" si="72"/>
        <v>0</v>
      </c>
      <c r="J158" s="123">
        <f t="shared" si="71"/>
        <v>1436.875</v>
      </c>
      <c r="K158" s="123">
        <f t="shared" si="71"/>
        <v>0</v>
      </c>
      <c r="L158" s="123">
        <f t="shared" si="71"/>
        <v>0</v>
      </c>
      <c r="M158" s="123">
        <f t="shared" si="71"/>
        <v>0</v>
      </c>
      <c r="N158" s="123">
        <f t="shared" si="71"/>
        <v>0</v>
      </c>
      <c r="O158" s="123">
        <f t="shared" si="71"/>
        <v>0</v>
      </c>
      <c r="P158" s="123">
        <f t="shared" si="71"/>
        <v>0</v>
      </c>
      <c r="Q158" s="123">
        <f t="shared" si="71"/>
        <v>0</v>
      </c>
      <c r="R158" s="123">
        <f t="shared" si="71"/>
        <v>0</v>
      </c>
      <c r="S158" s="123">
        <f t="shared" si="71"/>
        <v>0</v>
      </c>
      <c r="T158" s="123">
        <f t="shared" si="71"/>
        <v>0</v>
      </c>
      <c r="U158" s="123">
        <f t="shared" si="71"/>
        <v>0</v>
      </c>
      <c r="V158" s="123">
        <f t="shared" si="71"/>
        <v>0</v>
      </c>
      <c r="W158" s="123">
        <f t="shared" si="71"/>
        <v>0</v>
      </c>
      <c r="X158" s="123">
        <f t="shared" si="71"/>
        <v>0</v>
      </c>
      <c r="Y158" s="123">
        <f t="shared" si="71"/>
        <v>0</v>
      </c>
    </row>
    <row r="159" spans="2:25" x14ac:dyDescent="0.2">
      <c r="B159" s="129" t="s">
        <v>58</v>
      </c>
      <c r="C159" s="79">
        <f>+'Inputs Field'!D122</f>
        <v>0.5</v>
      </c>
      <c r="D159" s="34">
        <f>+'Inputs Field'!F122</f>
        <v>1</v>
      </c>
      <c r="E159" s="34">
        <f>+C159*D159*'Assumptions &amp; Costs'!E$76*(1+'Assumptions &amp; Costs'!C$81)</f>
        <v>2.8737499999999998</v>
      </c>
      <c r="H159" s="123"/>
      <c r="I159" s="123">
        <f t="shared" si="72"/>
        <v>0</v>
      </c>
      <c r="J159" s="123">
        <f t="shared" si="71"/>
        <v>1436.875</v>
      </c>
      <c r="K159" s="123">
        <f t="shared" si="71"/>
        <v>0</v>
      </c>
      <c r="L159" s="123">
        <f t="shared" si="71"/>
        <v>0</v>
      </c>
      <c r="M159" s="123">
        <f t="shared" si="71"/>
        <v>0</v>
      </c>
      <c r="N159" s="123">
        <f t="shared" si="71"/>
        <v>0</v>
      </c>
      <c r="O159" s="123">
        <f t="shared" si="71"/>
        <v>0</v>
      </c>
      <c r="P159" s="123">
        <f t="shared" si="71"/>
        <v>0</v>
      </c>
      <c r="Q159" s="123">
        <f t="shared" si="71"/>
        <v>0</v>
      </c>
      <c r="R159" s="123">
        <f t="shared" si="71"/>
        <v>0</v>
      </c>
      <c r="S159" s="123">
        <f t="shared" si="71"/>
        <v>0</v>
      </c>
      <c r="T159" s="123">
        <f t="shared" si="71"/>
        <v>0</v>
      </c>
      <c r="U159" s="123">
        <f t="shared" si="71"/>
        <v>0</v>
      </c>
      <c r="V159" s="123">
        <f t="shared" si="71"/>
        <v>0</v>
      </c>
      <c r="W159" s="123">
        <f t="shared" si="71"/>
        <v>0</v>
      </c>
      <c r="X159" s="123">
        <f t="shared" si="71"/>
        <v>0</v>
      </c>
      <c r="Y159" s="123">
        <f t="shared" si="71"/>
        <v>0</v>
      </c>
    </row>
    <row r="160" spans="2:25" x14ac:dyDescent="0.2">
      <c r="B160" s="129" t="s">
        <v>46</v>
      </c>
      <c r="C160" s="76">
        <f>+'Inputs Field'!D125</f>
        <v>0.1</v>
      </c>
      <c r="D160" s="34"/>
      <c r="E160" s="34">
        <f>SUMPRODUCT(C$151:C$159,D$151:D$159)*C160*'Assumptions &amp; Costs'!E78*(1+'Assumptions &amp; Costs'!C$81)</f>
        <v>11.913</v>
      </c>
      <c r="H160" s="123"/>
      <c r="I160" s="123">
        <f t="shared" si="72"/>
        <v>0</v>
      </c>
      <c r="J160" s="123">
        <f t="shared" si="71"/>
        <v>5956.5</v>
      </c>
      <c r="K160" s="123">
        <f t="shared" si="71"/>
        <v>0</v>
      </c>
      <c r="L160" s="123">
        <f t="shared" si="71"/>
        <v>0</v>
      </c>
      <c r="M160" s="123">
        <f t="shared" si="71"/>
        <v>0</v>
      </c>
      <c r="N160" s="123">
        <f t="shared" si="71"/>
        <v>0</v>
      </c>
      <c r="O160" s="123">
        <f t="shared" si="71"/>
        <v>0</v>
      </c>
      <c r="P160" s="123">
        <f t="shared" si="71"/>
        <v>0</v>
      </c>
      <c r="Q160" s="123">
        <f t="shared" si="71"/>
        <v>0</v>
      </c>
      <c r="R160" s="123">
        <f t="shared" si="71"/>
        <v>0</v>
      </c>
      <c r="S160" s="123">
        <f t="shared" si="71"/>
        <v>0</v>
      </c>
      <c r="T160" s="123">
        <f t="shared" si="71"/>
        <v>0</v>
      </c>
      <c r="U160" s="123">
        <f t="shared" si="71"/>
        <v>0</v>
      </c>
      <c r="V160" s="123">
        <f t="shared" si="71"/>
        <v>0</v>
      </c>
      <c r="W160" s="123">
        <f t="shared" si="71"/>
        <v>0</v>
      </c>
      <c r="X160" s="123">
        <f t="shared" si="71"/>
        <v>0</v>
      </c>
      <c r="Y160" s="123">
        <f t="shared" si="71"/>
        <v>0</v>
      </c>
    </row>
    <row r="161" spans="2:25" x14ac:dyDescent="0.2">
      <c r="B161" s="129" t="s">
        <v>47</v>
      </c>
      <c r="C161" s="76">
        <f>+'Inputs Field'!D126</f>
        <v>0.05</v>
      </c>
      <c r="D161" s="34"/>
      <c r="E161" s="34">
        <f>SUMPRODUCT(C$151:C$159,D$151:D$159)*C161*'Assumptions &amp; Costs'!E79*(1+'Assumptions &amp; Costs'!C$81)</f>
        <v>22.909615384615382</v>
      </c>
      <c r="H161" s="123"/>
      <c r="I161" s="123">
        <f t="shared" si="72"/>
        <v>0</v>
      </c>
      <c r="J161" s="123">
        <f t="shared" si="71"/>
        <v>11454.807692307691</v>
      </c>
      <c r="K161" s="123">
        <f t="shared" si="71"/>
        <v>0</v>
      </c>
      <c r="L161" s="123">
        <f t="shared" si="71"/>
        <v>0</v>
      </c>
      <c r="M161" s="123">
        <f t="shared" si="71"/>
        <v>0</v>
      </c>
      <c r="N161" s="123">
        <f t="shared" si="71"/>
        <v>0</v>
      </c>
      <c r="O161" s="123">
        <f t="shared" si="71"/>
        <v>0</v>
      </c>
      <c r="P161" s="123">
        <f t="shared" si="71"/>
        <v>0</v>
      </c>
      <c r="Q161" s="123">
        <f t="shared" si="71"/>
        <v>0</v>
      </c>
      <c r="R161" s="123">
        <f t="shared" si="71"/>
        <v>0</v>
      </c>
      <c r="S161" s="123">
        <f t="shared" si="71"/>
        <v>0</v>
      </c>
      <c r="T161" s="123">
        <f t="shared" si="71"/>
        <v>0</v>
      </c>
      <c r="U161" s="123">
        <f t="shared" si="71"/>
        <v>0</v>
      </c>
      <c r="V161" s="123">
        <f t="shared" si="71"/>
        <v>0</v>
      </c>
      <c r="W161" s="123">
        <f t="shared" si="71"/>
        <v>0</v>
      </c>
      <c r="X161" s="123">
        <f t="shared" si="71"/>
        <v>0</v>
      </c>
      <c r="Y161" s="123">
        <f t="shared" si="71"/>
        <v>0</v>
      </c>
    </row>
    <row r="162" spans="2:25" x14ac:dyDescent="0.2">
      <c r="B162" s="1" t="s">
        <v>1</v>
      </c>
      <c r="C162" s="34"/>
      <c r="D162" s="34"/>
      <c r="E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</row>
    <row r="163" spans="2:25" x14ac:dyDescent="0.2">
      <c r="B163" s="129" t="s">
        <v>239</v>
      </c>
      <c r="C163" s="78">
        <f>+'Inputs Field'!H113</f>
        <v>1</v>
      </c>
      <c r="D163" s="34">
        <f>+'Inputs Field'!F113</f>
        <v>1</v>
      </c>
      <c r="E163" s="34">
        <f>+C163*D163*'Assumptions &amp; Costs'!C65</f>
        <v>10</v>
      </c>
      <c r="H163" s="123"/>
      <c r="I163" s="123">
        <f t="shared" ref="I163:X165" si="73">+$E163*F$18</f>
        <v>0</v>
      </c>
      <c r="J163" s="123">
        <f t="shared" si="73"/>
        <v>5000</v>
      </c>
      <c r="K163" s="123">
        <f t="shared" si="73"/>
        <v>0</v>
      </c>
      <c r="L163" s="123">
        <f t="shared" si="73"/>
        <v>0</v>
      </c>
      <c r="M163" s="123">
        <f t="shared" si="73"/>
        <v>0</v>
      </c>
      <c r="N163" s="123">
        <f t="shared" si="73"/>
        <v>0</v>
      </c>
      <c r="O163" s="123">
        <f t="shared" si="73"/>
        <v>0</v>
      </c>
      <c r="P163" s="123">
        <f t="shared" si="73"/>
        <v>0</v>
      </c>
      <c r="Q163" s="123">
        <f t="shared" si="73"/>
        <v>0</v>
      </c>
      <c r="R163" s="123">
        <f t="shared" si="73"/>
        <v>0</v>
      </c>
      <c r="S163" s="123">
        <f t="shared" si="73"/>
        <v>0</v>
      </c>
      <c r="T163" s="123">
        <f t="shared" si="73"/>
        <v>0</v>
      </c>
      <c r="U163" s="123">
        <f t="shared" si="73"/>
        <v>0</v>
      </c>
      <c r="V163" s="123">
        <f t="shared" si="73"/>
        <v>0</v>
      </c>
      <c r="W163" s="123">
        <f t="shared" si="73"/>
        <v>0</v>
      </c>
      <c r="X163" s="123">
        <f t="shared" si="73"/>
        <v>0</v>
      </c>
      <c r="Y163" s="123">
        <f t="shared" ref="S163:Y165" si="74">+$E163*V$18</f>
        <v>0</v>
      </c>
    </row>
    <row r="164" spans="2:25" x14ac:dyDescent="0.2">
      <c r="B164" s="129" t="s">
        <v>232</v>
      </c>
      <c r="C164" s="78">
        <f>+'Inputs Field'!H115</f>
        <v>2.5</v>
      </c>
      <c r="D164" s="34">
        <f>+'Inputs Field'!F115</f>
        <v>2</v>
      </c>
      <c r="E164" s="34">
        <f>+C164*D164*'Inputs Field'!H43*('Assumptions &amp; Costs'!C69+'Assumptions &amp; Costs'!C72)/1000</f>
        <v>328.27642706249992</v>
      </c>
      <c r="H164" s="123"/>
      <c r="I164" s="123">
        <f t="shared" si="73"/>
        <v>0</v>
      </c>
      <c r="J164" s="123">
        <f t="shared" si="73"/>
        <v>164138.21353124996</v>
      </c>
      <c r="K164" s="123">
        <f t="shared" si="73"/>
        <v>0</v>
      </c>
      <c r="L164" s="123">
        <f t="shared" si="73"/>
        <v>0</v>
      </c>
      <c r="M164" s="123">
        <f t="shared" si="73"/>
        <v>0</v>
      </c>
      <c r="N164" s="123">
        <f t="shared" si="73"/>
        <v>0</v>
      </c>
      <c r="O164" s="123">
        <f t="shared" si="73"/>
        <v>0</v>
      </c>
      <c r="P164" s="123">
        <f t="shared" si="73"/>
        <v>0</v>
      </c>
      <c r="Q164" s="123">
        <f t="shared" si="73"/>
        <v>0</v>
      </c>
      <c r="R164" s="123">
        <f t="shared" si="73"/>
        <v>0</v>
      </c>
      <c r="S164" s="123">
        <f t="shared" si="74"/>
        <v>0</v>
      </c>
      <c r="T164" s="123">
        <f t="shared" si="74"/>
        <v>0</v>
      </c>
      <c r="U164" s="123">
        <f t="shared" si="74"/>
        <v>0</v>
      </c>
      <c r="V164" s="123">
        <f t="shared" si="74"/>
        <v>0</v>
      </c>
      <c r="W164" s="123">
        <f t="shared" si="74"/>
        <v>0</v>
      </c>
      <c r="X164" s="123">
        <f t="shared" si="74"/>
        <v>0</v>
      </c>
      <c r="Y164" s="123">
        <f t="shared" si="74"/>
        <v>0</v>
      </c>
    </row>
    <row r="165" spans="2:25" x14ac:dyDescent="0.2">
      <c r="B165" s="129" t="s">
        <v>240</v>
      </c>
      <c r="C165" s="78"/>
      <c r="D165" s="34"/>
      <c r="E165" s="34">
        <f>+'Inputs Field'!H118</f>
        <v>10</v>
      </c>
      <c r="H165" s="123"/>
      <c r="I165" s="123">
        <f t="shared" si="73"/>
        <v>0</v>
      </c>
      <c r="J165" s="123">
        <f t="shared" si="73"/>
        <v>5000</v>
      </c>
      <c r="K165" s="123">
        <f t="shared" si="73"/>
        <v>0</v>
      </c>
      <c r="L165" s="123">
        <f t="shared" si="73"/>
        <v>0</v>
      </c>
      <c r="M165" s="123">
        <f t="shared" si="73"/>
        <v>0</v>
      </c>
      <c r="N165" s="123">
        <f t="shared" si="73"/>
        <v>0</v>
      </c>
      <c r="O165" s="123">
        <f t="shared" si="73"/>
        <v>0</v>
      </c>
      <c r="P165" s="123">
        <f t="shared" si="73"/>
        <v>0</v>
      </c>
      <c r="Q165" s="123">
        <f t="shared" si="73"/>
        <v>0</v>
      </c>
      <c r="R165" s="123">
        <f t="shared" si="73"/>
        <v>0</v>
      </c>
      <c r="S165" s="123">
        <f t="shared" si="74"/>
        <v>0</v>
      </c>
      <c r="T165" s="123">
        <f t="shared" si="74"/>
        <v>0</v>
      </c>
      <c r="U165" s="123">
        <f t="shared" si="74"/>
        <v>0</v>
      </c>
      <c r="V165" s="123">
        <f t="shared" si="74"/>
        <v>0</v>
      </c>
      <c r="W165" s="123">
        <f t="shared" si="74"/>
        <v>0</v>
      </c>
      <c r="X165" s="123">
        <f t="shared" si="74"/>
        <v>0</v>
      </c>
      <c r="Y165" s="123">
        <f t="shared" si="74"/>
        <v>0</v>
      </c>
    </row>
    <row r="166" spans="2:25" x14ac:dyDescent="0.2">
      <c r="B166" s="1" t="s">
        <v>101</v>
      </c>
      <c r="C166" s="34"/>
      <c r="D166" s="121" t="s">
        <v>60</v>
      </c>
      <c r="E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</row>
    <row r="167" spans="2:25" x14ac:dyDescent="0.2">
      <c r="B167" s="129" t="s">
        <v>242</v>
      </c>
      <c r="C167" s="34" t="s">
        <v>241</v>
      </c>
      <c r="D167" s="73">
        <f>+'Inputs Field'!K123</f>
        <v>0.5</v>
      </c>
      <c r="E167" s="34">
        <f>+D167*'Assumptions &amp; Costs'!D88</f>
        <v>5</v>
      </c>
      <c r="H167" s="123"/>
      <c r="I167" s="123">
        <f t="shared" ref="I167:X168" si="75">+$E167*F$18</f>
        <v>0</v>
      </c>
      <c r="J167" s="123">
        <f t="shared" si="75"/>
        <v>2500</v>
      </c>
      <c r="K167" s="123">
        <f t="shared" si="75"/>
        <v>0</v>
      </c>
      <c r="L167" s="123">
        <f t="shared" si="75"/>
        <v>0</v>
      </c>
      <c r="M167" s="123">
        <f t="shared" si="75"/>
        <v>0</v>
      </c>
      <c r="N167" s="123">
        <f t="shared" si="75"/>
        <v>0</v>
      </c>
      <c r="O167" s="123">
        <f t="shared" si="75"/>
        <v>0</v>
      </c>
      <c r="P167" s="123">
        <f t="shared" si="75"/>
        <v>0</v>
      </c>
      <c r="Q167" s="123">
        <f t="shared" si="75"/>
        <v>0</v>
      </c>
      <c r="R167" s="123">
        <f t="shared" si="75"/>
        <v>0</v>
      </c>
      <c r="S167" s="123">
        <f t="shared" si="75"/>
        <v>0</v>
      </c>
      <c r="T167" s="123">
        <f t="shared" si="75"/>
        <v>0</v>
      </c>
      <c r="U167" s="123">
        <f t="shared" si="75"/>
        <v>0</v>
      </c>
      <c r="V167" s="123">
        <f t="shared" si="75"/>
        <v>0</v>
      </c>
      <c r="W167" s="123">
        <f t="shared" si="75"/>
        <v>0</v>
      </c>
      <c r="X167" s="123">
        <f t="shared" si="75"/>
        <v>0</v>
      </c>
      <c r="Y167" s="123">
        <f t="shared" ref="S167:Y168" si="76">+$E167*V$18</f>
        <v>0</v>
      </c>
    </row>
    <row r="168" spans="2:25" x14ac:dyDescent="0.2">
      <c r="B168" s="129" t="s">
        <v>233</v>
      </c>
      <c r="C168" s="76">
        <f>+'Inputs Field'!H124</f>
        <v>0.05</v>
      </c>
      <c r="D168" s="34"/>
      <c r="E168" s="34">
        <f>SUM(E151:E159)*C168</f>
        <v>4.3863875000000005</v>
      </c>
      <c r="H168" s="123"/>
      <c r="I168" s="123">
        <f t="shared" si="75"/>
        <v>0</v>
      </c>
      <c r="J168" s="123">
        <f t="shared" si="75"/>
        <v>2193.1937500000004</v>
      </c>
      <c r="K168" s="123">
        <f t="shared" si="75"/>
        <v>0</v>
      </c>
      <c r="L168" s="123">
        <f t="shared" si="75"/>
        <v>0</v>
      </c>
      <c r="M168" s="123">
        <f t="shared" si="75"/>
        <v>0</v>
      </c>
      <c r="N168" s="123">
        <f t="shared" si="75"/>
        <v>0</v>
      </c>
      <c r="O168" s="123">
        <f t="shared" si="75"/>
        <v>0</v>
      </c>
      <c r="P168" s="123">
        <f t="shared" si="75"/>
        <v>0</v>
      </c>
      <c r="Q168" s="123">
        <f t="shared" si="75"/>
        <v>0</v>
      </c>
      <c r="R168" s="123">
        <f t="shared" si="75"/>
        <v>0</v>
      </c>
      <c r="S168" s="123">
        <f t="shared" si="76"/>
        <v>0</v>
      </c>
      <c r="T168" s="123">
        <f t="shared" si="76"/>
        <v>0</v>
      </c>
      <c r="U168" s="123">
        <f t="shared" si="76"/>
        <v>0</v>
      </c>
      <c r="V168" s="123">
        <f t="shared" si="76"/>
        <v>0</v>
      </c>
      <c r="W168" s="123">
        <f t="shared" si="76"/>
        <v>0</v>
      </c>
      <c r="X168" s="123">
        <f t="shared" si="76"/>
        <v>0</v>
      </c>
      <c r="Y168" s="123">
        <f t="shared" si="76"/>
        <v>0</v>
      </c>
    </row>
    <row r="169" spans="2:25" x14ac:dyDescent="0.2">
      <c r="B169" s="1" t="s">
        <v>86</v>
      </c>
      <c r="C169" s="123"/>
      <c r="D169" s="123"/>
      <c r="E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</row>
    <row r="170" spans="2:25" x14ac:dyDescent="0.2">
      <c r="B170" s="129" t="s">
        <v>234</v>
      </c>
      <c r="C170" s="123"/>
      <c r="D170" s="123"/>
      <c r="E170" s="34">
        <f>SUM(E151:E161)</f>
        <v>122.55036538461538</v>
      </c>
      <c r="H170" s="123"/>
      <c r="I170" s="77">
        <f>SUM(I151:I161)</f>
        <v>0</v>
      </c>
      <c r="J170" s="77">
        <f t="shared" ref="J170:Y170" si="77">SUM(J151:J161)</f>
        <v>61275.182692307688</v>
      </c>
      <c r="K170" s="77">
        <f t="shared" si="77"/>
        <v>0</v>
      </c>
      <c r="L170" s="77">
        <f t="shared" si="77"/>
        <v>0</v>
      </c>
      <c r="M170" s="77">
        <f t="shared" si="77"/>
        <v>0</v>
      </c>
      <c r="N170" s="77">
        <f t="shared" si="77"/>
        <v>0</v>
      </c>
      <c r="O170" s="77">
        <f t="shared" si="77"/>
        <v>0</v>
      </c>
      <c r="P170" s="77">
        <f t="shared" si="77"/>
        <v>0</v>
      </c>
      <c r="Q170" s="77">
        <f t="shared" si="77"/>
        <v>0</v>
      </c>
      <c r="R170" s="77">
        <f t="shared" si="77"/>
        <v>0</v>
      </c>
      <c r="S170" s="77">
        <f t="shared" si="77"/>
        <v>0</v>
      </c>
      <c r="T170" s="77">
        <f t="shared" si="77"/>
        <v>0</v>
      </c>
      <c r="U170" s="77">
        <f t="shared" si="77"/>
        <v>0</v>
      </c>
      <c r="V170" s="77">
        <f t="shared" si="77"/>
        <v>0</v>
      </c>
      <c r="W170" s="77">
        <f t="shared" si="77"/>
        <v>0</v>
      </c>
      <c r="X170" s="77">
        <f t="shared" si="77"/>
        <v>0</v>
      </c>
      <c r="Y170" s="77">
        <f t="shared" si="77"/>
        <v>0</v>
      </c>
    </row>
    <row r="171" spans="2:25" x14ac:dyDescent="0.2">
      <c r="B171" s="129" t="s">
        <v>1</v>
      </c>
      <c r="C171" s="123"/>
      <c r="D171" s="123"/>
      <c r="E171" s="34">
        <f>SUM(E163:E165)</f>
        <v>348.27642706249992</v>
      </c>
      <c r="H171" s="123"/>
      <c r="I171" s="77">
        <f>SUM(I163:I165)</f>
        <v>0</v>
      </c>
      <c r="J171" s="77">
        <f t="shared" ref="J171:Y171" si="78">SUM(J163:J165)</f>
        <v>174138.21353124996</v>
      </c>
      <c r="K171" s="77">
        <f t="shared" si="78"/>
        <v>0</v>
      </c>
      <c r="L171" s="77">
        <f t="shared" si="78"/>
        <v>0</v>
      </c>
      <c r="M171" s="77">
        <f t="shared" si="78"/>
        <v>0</v>
      </c>
      <c r="N171" s="77">
        <f t="shared" si="78"/>
        <v>0</v>
      </c>
      <c r="O171" s="77">
        <f t="shared" si="78"/>
        <v>0</v>
      </c>
      <c r="P171" s="77">
        <f t="shared" si="78"/>
        <v>0</v>
      </c>
      <c r="Q171" s="77">
        <f t="shared" si="78"/>
        <v>0</v>
      </c>
      <c r="R171" s="77">
        <f t="shared" si="78"/>
        <v>0</v>
      </c>
      <c r="S171" s="77">
        <f t="shared" si="78"/>
        <v>0</v>
      </c>
      <c r="T171" s="77">
        <f t="shared" si="78"/>
        <v>0</v>
      </c>
      <c r="U171" s="77">
        <f t="shared" si="78"/>
        <v>0</v>
      </c>
      <c r="V171" s="77">
        <f t="shared" si="78"/>
        <v>0</v>
      </c>
      <c r="W171" s="77">
        <f t="shared" si="78"/>
        <v>0</v>
      </c>
      <c r="X171" s="77">
        <f t="shared" si="78"/>
        <v>0</v>
      </c>
      <c r="Y171" s="77">
        <f t="shared" si="78"/>
        <v>0</v>
      </c>
    </row>
    <row r="172" spans="2:25" x14ac:dyDescent="0.2">
      <c r="B172" s="129" t="s">
        <v>101</v>
      </c>
      <c r="C172" s="123"/>
      <c r="D172" s="123"/>
      <c r="E172" s="34">
        <f>SUM(E167:E168)</f>
        <v>9.3863875000000014</v>
      </c>
      <c r="H172" s="123"/>
      <c r="I172" s="77">
        <f>SUM(I167:I168)</f>
        <v>0</v>
      </c>
      <c r="J172" s="77">
        <f t="shared" ref="J172:Y172" si="79">SUM(J167:J168)</f>
        <v>4693.1937500000004</v>
      </c>
      <c r="K172" s="77">
        <f t="shared" si="79"/>
        <v>0</v>
      </c>
      <c r="L172" s="77">
        <f t="shared" si="79"/>
        <v>0</v>
      </c>
      <c r="M172" s="77">
        <f t="shared" si="79"/>
        <v>0</v>
      </c>
      <c r="N172" s="77">
        <f t="shared" si="79"/>
        <v>0</v>
      </c>
      <c r="O172" s="77">
        <f t="shared" si="79"/>
        <v>0</v>
      </c>
      <c r="P172" s="77">
        <f t="shared" si="79"/>
        <v>0</v>
      </c>
      <c r="Q172" s="77">
        <f t="shared" si="79"/>
        <v>0</v>
      </c>
      <c r="R172" s="77">
        <f t="shared" si="79"/>
        <v>0</v>
      </c>
      <c r="S172" s="77">
        <f t="shared" si="79"/>
        <v>0</v>
      </c>
      <c r="T172" s="77">
        <f t="shared" si="79"/>
        <v>0</v>
      </c>
      <c r="U172" s="77">
        <f t="shared" si="79"/>
        <v>0</v>
      </c>
      <c r="V172" s="77">
        <f t="shared" si="79"/>
        <v>0</v>
      </c>
      <c r="W172" s="77">
        <f t="shared" si="79"/>
        <v>0</v>
      </c>
      <c r="X172" s="77">
        <f t="shared" si="79"/>
        <v>0</v>
      </c>
      <c r="Y172" s="77">
        <f t="shared" si="79"/>
        <v>0</v>
      </c>
    </row>
    <row r="173" spans="2:25" x14ac:dyDescent="0.2">
      <c r="B173" s="1" t="s">
        <v>114</v>
      </c>
      <c r="C173" s="123"/>
      <c r="D173" s="123"/>
      <c r="E173" s="34">
        <f>SUM(E170:E172)</f>
        <v>480.21317994711529</v>
      </c>
      <c r="H173" s="123"/>
      <c r="I173" s="77">
        <f>SUM(I170:I172)</f>
        <v>0</v>
      </c>
      <c r="J173" s="77">
        <f t="shared" ref="J173:Y173" si="80">SUM(J170:J172)</f>
        <v>240106.58997355765</v>
      </c>
      <c r="K173" s="77">
        <f t="shared" si="80"/>
        <v>0</v>
      </c>
      <c r="L173" s="77">
        <f t="shared" si="80"/>
        <v>0</v>
      </c>
      <c r="M173" s="77">
        <f t="shared" si="80"/>
        <v>0</v>
      </c>
      <c r="N173" s="77">
        <f t="shared" si="80"/>
        <v>0</v>
      </c>
      <c r="O173" s="77">
        <f t="shared" si="80"/>
        <v>0</v>
      </c>
      <c r="P173" s="77">
        <f t="shared" si="80"/>
        <v>0</v>
      </c>
      <c r="Q173" s="77">
        <f t="shared" si="80"/>
        <v>0</v>
      </c>
      <c r="R173" s="77">
        <f t="shared" si="80"/>
        <v>0</v>
      </c>
      <c r="S173" s="77">
        <f t="shared" si="80"/>
        <v>0</v>
      </c>
      <c r="T173" s="77">
        <f t="shared" si="80"/>
        <v>0</v>
      </c>
      <c r="U173" s="77">
        <f t="shared" si="80"/>
        <v>0</v>
      </c>
      <c r="V173" s="77">
        <f t="shared" si="80"/>
        <v>0</v>
      </c>
      <c r="W173" s="77">
        <f t="shared" si="80"/>
        <v>0</v>
      </c>
      <c r="X173" s="77">
        <f t="shared" si="80"/>
        <v>0</v>
      </c>
      <c r="Y173" s="77">
        <f t="shared" si="80"/>
        <v>0</v>
      </c>
    </row>
    <row r="174" spans="2:25" x14ac:dyDescent="0.2">
      <c r="C174" s="123"/>
      <c r="D174" s="123"/>
      <c r="E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</row>
    <row r="175" spans="2:25" x14ac:dyDescent="0.2">
      <c r="B175" s="1" t="s">
        <v>110</v>
      </c>
      <c r="C175" s="123"/>
      <c r="D175" s="123"/>
      <c r="E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</row>
    <row r="176" spans="2:25" x14ac:dyDescent="0.2">
      <c r="B176" s="1" t="s">
        <v>0</v>
      </c>
      <c r="C176" s="75" t="s">
        <v>229</v>
      </c>
      <c r="D176" s="75" t="s">
        <v>230</v>
      </c>
      <c r="E176" s="75" t="s">
        <v>460</v>
      </c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</row>
    <row r="177" spans="2:25" x14ac:dyDescent="0.2">
      <c r="B177" s="129" t="s">
        <v>24</v>
      </c>
      <c r="C177" s="79">
        <f>+'Inputs Field'!D133</f>
        <v>0.5</v>
      </c>
      <c r="D177" s="34">
        <f>+'Inputs Field'!F133</f>
        <v>2</v>
      </c>
      <c r="E177" s="34">
        <f>+C177*D177*'Assumptions &amp; Costs'!E$75*(1+'Assumptions &amp; Costs'!C$81)</f>
        <v>6.27</v>
      </c>
      <c r="G177" s="123"/>
      <c r="J177" s="123">
        <f>+$E177*SUM($F$18:F$18)</f>
        <v>0</v>
      </c>
      <c r="K177" s="123">
        <f>+$E177*SUM($F$18:G$18)</f>
        <v>3135</v>
      </c>
      <c r="L177" s="123">
        <f>+$E177*SUM($F$18:H$18)</f>
        <v>3135</v>
      </c>
      <c r="M177" s="123">
        <f>+$E177*SUM($F$18:I$18)</f>
        <v>3135</v>
      </c>
      <c r="N177" s="123">
        <f>+$E177*SUM($F$18:J$18)</f>
        <v>3135</v>
      </c>
      <c r="O177" s="123">
        <f>+$E177*SUM($F$18:K$18)</f>
        <v>3135</v>
      </c>
      <c r="P177" s="123">
        <f>+$E177*SUM($F$18:L$18)</f>
        <v>3135</v>
      </c>
      <c r="Q177" s="123">
        <f>+$E177*SUM($F$18:M$18)</f>
        <v>3135</v>
      </c>
      <c r="R177" s="123">
        <f>+$E177*SUM($F$18:N$18)</f>
        <v>3135</v>
      </c>
      <c r="S177" s="123">
        <f>+$E177*SUM($F$18:O$18)</f>
        <v>3135</v>
      </c>
      <c r="T177" s="123">
        <f>+$E177*SUM($F$18:P$18)</f>
        <v>3135</v>
      </c>
      <c r="U177" s="123">
        <f>+$E177*SUM($F$18:Q$18)</f>
        <v>3135</v>
      </c>
      <c r="V177" s="123">
        <f>+$E177*SUM($F$18:R$18)</f>
        <v>3135</v>
      </c>
      <c r="W177" s="123">
        <f>+$E177*SUM($F$18:S$18)</f>
        <v>3135</v>
      </c>
      <c r="X177" s="123">
        <f>+$E177*SUM($F$18:T$18)</f>
        <v>3135</v>
      </c>
      <c r="Y177" s="123">
        <f>+$E177*SUM($F$18:U$18)</f>
        <v>3135</v>
      </c>
    </row>
    <row r="178" spans="2:25" x14ac:dyDescent="0.2">
      <c r="B178" s="129" t="s">
        <v>81</v>
      </c>
      <c r="C178" s="79">
        <f>+'Inputs Field'!D134</f>
        <v>0.5</v>
      </c>
      <c r="D178" s="34">
        <f>+'Inputs Field'!F134</f>
        <v>4</v>
      </c>
      <c r="E178" s="34">
        <f>+C178*D178*'Assumptions &amp; Costs'!E$75*(1+'Assumptions &amp; Costs'!C$81)</f>
        <v>12.54</v>
      </c>
      <c r="G178" s="123"/>
      <c r="J178" s="123">
        <f>+$E178*SUM($F$18:F$18)</f>
        <v>0</v>
      </c>
      <c r="K178" s="123">
        <f>+$E178*SUM($F$18:G$18)</f>
        <v>6270</v>
      </c>
      <c r="L178" s="123">
        <f>+$E178*SUM($F$18:H$18)</f>
        <v>6270</v>
      </c>
      <c r="M178" s="123">
        <f>+$E178*SUM($F$18:I$18)</f>
        <v>6270</v>
      </c>
      <c r="N178" s="123">
        <f>+$E178*SUM($F$18:J$18)</f>
        <v>6270</v>
      </c>
      <c r="O178" s="123">
        <f>+$E178*SUM($F$18:K$18)</f>
        <v>6270</v>
      </c>
      <c r="P178" s="123">
        <f>+$E178*SUM($F$18:L$18)</f>
        <v>6270</v>
      </c>
      <c r="Q178" s="123">
        <f>+$E178*SUM($F$18:M$18)</f>
        <v>6270</v>
      </c>
      <c r="R178" s="123">
        <f>+$E178*SUM($F$18:N$18)</f>
        <v>6270</v>
      </c>
      <c r="S178" s="123">
        <f>+$E178*SUM($F$18:O$18)</f>
        <v>6270</v>
      </c>
      <c r="T178" s="123">
        <f>+$E178*SUM($F$18:P$18)</f>
        <v>6270</v>
      </c>
      <c r="U178" s="123">
        <f>+$E178*SUM($F$18:Q$18)</f>
        <v>6270</v>
      </c>
      <c r="V178" s="123">
        <f>+$E178*SUM($F$18:R$18)</f>
        <v>6270</v>
      </c>
      <c r="W178" s="123">
        <f>+$E178*SUM($F$18:S$18)</f>
        <v>6270</v>
      </c>
      <c r="X178" s="123">
        <f>+$E178*SUM($F$18:T$18)</f>
        <v>6270</v>
      </c>
      <c r="Y178" s="123">
        <f>+$E178*SUM($F$18:U$18)</f>
        <v>6270</v>
      </c>
    </row>
    <row r="179" spans="2:25" x14ac:dyDescent="0.2">
      <c r="B179" s="129" t="s">
        <v>78</v>
      </c>
      <c r="C179" s="79">
        <f>+'Inputs Field'!D135</f>
        <v>0.2</v>
      </c>
      <c r="D179" s="34">
        <f>+'Inputs Field'!F135</f>
        <v>4</v>
      </c>
      <c r="E179" s="34">
        <f>+C179*D179*'Assumptions &amp; Costs'!E$75*(1+'Assumptions &amp; Costs'!C$81)</f>
        <v>5.016</v>
      </c>
      <c r="G179" s="123"/>
      <c r="J179" s="123">
        <f>+$E179*SUM($F$18:F$18)</f>
        <v>0</v>
      </c>
      <c r="K179" s="123">
        <f>+$E179*SUM($F$18:G$18)</f>
        <v>2508</v>
      </c>
      <c r="L179" s="123">
        <f>+$E179*SUM($F$18:H$18)</f>
        <v>2508</v>
      </c>
      <c r="M179" s="123">
        <f>+$E179*SUM($F$18:I$18)</f>
        <v>2508</v>
      </c>
      <c r="N179" s="123">
        <f>+$E179*SUM($F$18:J$18)</f>
        <v>2508</v>
      </c>
      <c r="O179" s="123">
        <f>+$E179*SUM($F$18:K$18)</f>
        <v>2508</v>
      </c>
      <c r="P179" s="123">
        <f>+$E179*SUM($F$18:L$18)</f>
        <v>2508</v>
      </c>
      <c r="Q179" s="123">
        <f>+$E179*SUM($F$18:M$18)</f>
        <v>2508</v>
      </c>
      <c r="R179" s="123">
        <f>+$E179*SUM($F$18:N$18)</f>
        <v>2508</v>
      </c>
      <c r="S179" s="123">
        <f>+$E179*SUM($F$18:O$18)</f>
        <v>2508</v>
      </c>
      <c r="T179" s="123">
        <f>+$E179*SUM($F$18:P$18)</f>
        <v>2508</v>
      </c>
      <c r="U179" s="123">
        <f>+$E179*SUM($F$18:Q$18)</f>
        <v>2508</v>
      </c>
      <c r="V179" s="123">
        <f>+$E179*SUM($F$18:R$18)</f>
        <v>2508</v>
      </c>
      <c r="W179" s="123">
        <f>+$E179*SUM($F$18:S$18)</f>
        <v>2508</v>
      </c>
      <c r="X179" s="123">
        <f>+$E179*SUM($F$18:T$18)</f>
        <v>2508</v>
      </c>
      <c r="Y179" s="123">
        <f>+$E179*SUM($F$18:U$18)</f>
        <v>2508</v>
      </c>
    </row>
    <row r="180" spans="2:25" x14ac:dyDescent="0.2">
      <c r="B180" s="129" t="s">
        <v>13</v>
      </c>
      <c r="C180" s="79">
        <f>+'Inputs Field'!D136</f>
        <v>1</v>
      </c>
      <c r="D180" s="34">
        <f>+'Inputs Field'!F136</f>
        <v>2</v>
      </c>
      <c r="E180" s="34">
        <f>+C180*D180*'Assumptions &amp; Costs'!E$76*(1+'Assumptions &amp; Costs'!C$81)</f>
        <v>11.494999999999999</v>
      </c>
      <c r="G180" s="123"/>
      <c r="J180" s="123">
        <f>+$E180*SUM($F$18:F$18)</f>
        <v>0</v>
      </c>
      <c r="K180" s="123">
        <f>+$E180*SUM($F$18:G$18)</f>
        <v>5747.5</v>
      </c>
      <c r="L180" s="123">
        <f>+$E180*SUM($F$18:H$18)</f>
        <v>5747.5</v>
      </c>
      <c r="M180" s="123">
        <f>+$E180*SUM($F$18:I$18)</f>
        <v>5747.5</v>
      </c>
      <c r="N180" s="123">
        <f>+$E180*SUM($F$18:J$18)</f>
        <v>5747.5</v>
      </c>
      <c r="O180" s="123">
        <f>+$E180*SUM($F$18:K$18)</f>
        <v>5747.5</v>
      </c>
      <c r="P180" s="123">
        <f>+$E180*SUM($F$18:L$18)</f>
        <v>5747.5</v>
      </c>
      <c r="Q180" s="123">
        <f>+$E180*SUM($F$18:M$18)</f>
        <v>5747.5</v>
      </c>
      <c r="R180" s="123">
        <f>+$E180*SUM($F$18:N$18)</f>
        <v>5747.5</v>
      </c>
      <c r="S180" s="123">
        <f>+$E180*SUM($F$18:O$18)</f>
        <v>5747.5</v>
      </c>
      <c r="T180" s="123">
        <f>+$E180*SUM($F$18:P$18)</f>
        <v>5747.5</v>
      </c>
      <c r="U180" s="123">
        <f>+$E180*SUM($F$18:Q$18)</f>
        <v>5747.5</v>
      </c>
      <c r="V180" s="123">
        <f>+$E180*SUM($F$18:R$18)</f>
        <v>5747.5</v>
      </c>
      <c r="W180" s="123">
        <f>+$E180*SUM($F$18:S$18)</f>
        <v>5747.5</v>
      </c>
      <c r="X180" s="123">
        <f>+$E180*SUM($F$18:T$18)</f>
        <v>5747.5</v>
      </c>
      <c r="Y180" s="123">
        <f>+$E180*SUM($F$18:U$18)</f>
        <v>5747.5</v>
      </c>
    </row>
    <row r="181" spans="2:25" x14ac:dyDescent="0.2">
      <c r="B181" s="129" t="s">
        <v>32</v>
      </c>
      <c r="C181" s="79">
        <f>+'Inputs Field'!D137</f>
        <v>1</v>
      </c>
      <c r="D181" s="34">
        <f>+'Inputs Field'!F137</f>
        <v>1</v>
      </c>
      <c r="E181" s="34">
        <f>+C181*D181*'Assumptions &amp; Costs'!E$76*(1+'Assumptions &amp; Costs'!C$81)</f>
        <v>5.7474999999999996</v>
      </c>
      <c r="G181" s="123"/>
      <c r="J181" s="123">
        <f>+$E181*SUM($F$18:F$18)</f>
        <v>0</v>
      </c>
      <c r="K181" s="123">
        <f>+$E181*SUM($F$18:G$18)</f>
        <v>2873.75</v>
      </c>
      <c r="L181" s="123">
        <f>+$E181*SUM($F$18:H$18)</f>
        <v>2873.75</v>
      </c>
      <c r="M181" s="123">
        <f>+$E181*SUM($F$18:I$18)</f>
        <v>2873.75</v>
      </c>
      <c r="N181" s="123">
        <f>+$E181*SUM($F$18:J$18)</f>
        <v>2873.75</v>
      </c>
      <c r="O181" s="123">
        <f>+$E181*SUM($F$18:K$18)</f>
        <v>2873.75</v>
      </c>
      <c r="P181" s="123">
        <f>+$E181*SUM($F$18:L$18)</f>
        <v>2873.75</v>
      </c>
      <c r="Q181" s="123">
        <f>+$E181*SUM($F$18:M$18)</f>
        <v>2873.75</v>
      </c>
      <c r="R181" s="123">
        <f>+$E181*SUM($F$18:N$18)</f>
        <v>2873.75</v>
      </c>
      <c r="S181" s="123">
        <f>+$E181*SUM($F$18:O$18)</f>
        <v>2873.75</v>
      </c>
      <c r="T181" s="123">
        <f>+$E181*SUM($F$18:P$18)</f>
        <v>2873.75</v>
      </c>
      <c r="U181" s="123">
        <f>+$E181*SUM($F$18:Q$18)</f>
        <v>2873.75</v>
      </c>
      <c r="V181" s="123">
        <f>+$E181*SUM($F$18:R$18)</f>
        <v>2873.75</v>
      </c>
      <c r="W181" s="123">
        <f>+$E181*SUM($F$18:S$18)</f>
        <v>2873.75</v>
      </c>
      <c r="X181" s="123">
        <f>+$E181*SUM($F$18:T$18)</f>
        <v>2873.75</v>
      </c>
      <c r="Y181" s="123">
        <f>+$E181*SUM($F$18:U$18)</f>
        <v>2873.75</v>
      </c>
    </row>
    <row r="182" spans="2:25" x14ac:dyDescent="0.2">
      <c r="B182" s="129" t="s">
        <v>84</v>
      </c>
      <c r="C182" s="79">
        <f>+'Inputs Field'!D138</f>
        <v>0.5</v>
      </c>
      <c r="D182" s="34">
        <f>+'Inputs Field'!F138</f>
        <v>1</v>
      </c>
      <c r="E182" s="34">
        <f>+C182*D182*'Assumptions &amp; Costs'!E$76*(1+'Assumptions &amp; Costs'!C$81)</f>
        <v>2.8737499999999998</v>
      </c>
      <c r="G182" s="123"/>
      <c r="J182" s="123">
        <f>+$E182*SUM($F$18:F$18)</f>
        <v>0</v>
      </c>
      <c r="K182" s="123">
        <f>+$E182*SUM($F$18:G$18)</f>
        <v>1436.875</v>
      </c>
      <c r="L182" s="123">
        <f>+$E182*SUM($F$18:H$18)</f>
        <v>1436.875</v>
      </c>
      <c r="M182" s="123">
        <f>+$E182*SUM($F$18:I$18)</f>
        <v>1436.875</v>
      </c>
      <c r="N182" s="123">
        <f>+$E182*SUM($F$18:J$18)</f>
        <v>1436.875</v>
      </c>
      <c r="O182" s="123">
        <f>+$E182*SUM($F$18:K$18)</f>
        <v>1436.875</v>
      </c>
      <c r="P182" s="123">
        <f>+$E182*SUM($F$18:L$18)</f>
        <v>1436.875</v>
      </c>
      <c r="Q182" s="123">
        <f>+$E182*SUM($F$18:M$18)</f>
        <v>1436.875</v>
      </c>
      <c r="R182" s="123">
        <f>+$E182*SUM($F$18:N$18)</f>
        <v>1436.875</v>
      </c>
      <c r="S182" s="123">
        <f>+$E182*SUM($F$18:O$18)</f>
        <v>1436.875</v>
      </c>
      <c r="T182" s="123">
        <f>+$E182*SUM($F$18:P$18)</f>
        <v>1436.875</v>
      </c>
      <c r="U182" s="123">
        <f>+$E182*SUM($F$18:Q$18)</f>
        <v>1436.875</v>
      </c>
      <c r="V182" s="123">
        <f>+$E182*SUM($F$18:R$18)</f>
        <v>1436.875</v>
      </c>
      <c r="W182" s="123">
        <f>+$E182*SUM($F$18:S$18)</f>
        <v>1436.875</v>
      </c>
      <c r="X182" s="123">
        <f>+$E182*SUM($F$18:T$18)</f>
        <v>1436.875</v>
      </c>
      <c r="Y182" s="123">
        <f>+$E182*SUM($F$18:U$18)</f>
        <v>1436.875</v>
      </c>
    </row>
    <row r="183" spans="2:25" x14ac:dyDescent="0.2">
      <c r="B183" s="129" t="s">
        <v>33</v>
      </c>
      <c r="C183" s="79">
        <f>+'Inputs Field'!D139</f>
        <v>1</v>
      </c>
      <c r="D183" s="34">
        <f>+'Inputs Field'!F139</f>
        <v>1</v>
      </c>
      <c r="E183" s="34">
        <f>+C183*D183*'Assumptions &amp; Costs'!E$76*(1+'Assumptions &amp; Costs'!C$81)</f>
        <v>5.7474999999999996</v>
      </c>
      <c r="G183" s="123"/>
      <c r="J183" s="123">
        <f>+$E183*SUM($F$18:F$18)</f>
        <v>0</v>
      </c>
      <c r="K183" s="123">
        <f>+$E183*SUM($F$18:G$18)</f>
        <v>2873.75</v>
      </c>
      <c r="L183" s="123">
        <f>+$E183*SUM($F$18:H$18)</f>
        <v>2873.75</v>
      </c>
      <c r="M183" s="123">
        <f>+$E183*SUM($F$18:I$18)</f>
        <v>2873.75</v>
      </c>
      <c r="N183" s="123">
        <f>+$E183*SUM($F$18:J$18)</f>
        <v>2873.75</v>
      </c>
      <c r="O183" s="123">
        <f>+$E183*SUM($F$18:K$18)</f>
        <v>2873.75</v>
      </c>
      <c r="P183" s="123">
        <f>+$E183*SUM($F$18:L$18)</f>
        <v>2873.75</v>
      </c>
      <c r="Q183" s="123">
        <f>+$E183*SUM($F$18:M$18)</f>
        <v>2873.75</v>
      </c>
      <c r="R183" s="123">
        <f>+$E183*SUM($F$18:N$18)</f>
        <v>2873.75</v>
      </c>
      <c r="S183" s="123">
        <f>+$E183*SUM($F$18:O$18)</f>
        <v>2873.75</v>
      </c>
      <c r="T183" s="123">
        <f>+$E183*SUM($F$18:P$18)</f>
        <v>2873.75</v>
      </c>
      <c r="U183" s="123">
        <f>+$E183*SUM($F$18:Q$18)</f>
        <v>2873.75</v>
      </c>
      <c r="V183" s="123">
        <f>+$E183*SUM($F$18:R$18)</f>
        <v>2873.75</v>
      </c>
      <c r="W183" s="123">
        <f>+$E183*SUM($F$18:S$18)</f>
        <v>2873.75</v>
      </c>
      <c r="X183" s="123">
        <f>+$E183*SUM($F$18:T$18)</f>
        <v>2873.75</v>
      </c>
      <c r="Y183" s="123">
        <f>+$E183*SUM($F$18:U$18)</f>
        <v>2873.75</v>
      </c>
    </row>
    <row r="184" spans="2:25" x14ac:dyDescent="0.2">
      <c r="B184" s="129" t="s">
        <v>26</v>
      </c>
      <c r="C184" s="79">
        <f>+'Inputs Field'!D140</f>
        <v>0.1</v>
      </c>
      <c r="D184" s="34">
        <f>+'Inputs Field'!F140</f>
        <v>2</v>
      </c>
      <c r="E184" s="34">
        <f>+C184*D184*'Assumptions &amp; Costs'!E$76*(1+'Assumptions &amp; Costs'!C$81)</f>
        <v>1.1495</v>
      </c>
      <c r="G184" s="123"/>
      <c r="J184" s="123">
        <f>+$E184*SUM($F$18:F$18)</f>
        <v>0</v>
      </c>
      <c r="K184" s="123">
        <f>+$E184*SUM($F$18:G$18)</f>
        <v>574.75</v>
      </c>
      <c r="L184" s="123">
        <f>+$E184*SUM($F$18:H$18)</f>
        <v>574.75</v>
      </c>
      <c r="M184" s="123">
        <f>+$E184*SUM($F$18:I$18)</f>
        <v>574.75</v>
      </c>
      <c r="N184" s="123">
        <f>+$E184*SUM($F$18:J$18)</f>
        <v>574.75</v>
      </c>
      <c r="O184" s="123">
        <f>+$E184*SUM($F$18:K$18)</f>
        <v>574.75</v>
      </c>
      <c r="P184" s="123">
        <f>+$E184*SUM($F$18:L$18)</f>
        <v>574.75</v>
      </c>
      <c r="Q184" s="123">
        <f>+$E184*SUM($F$18:M$18)</f>
        <v>574.75</v>
      </c>
      <c r="R184" s="123">
        <f>+$E184*SUM($F$18:N$18)</f>
        <v>574.75</v>
      </c>
      <c r="S184" s="123">
        <f>+$E184*SUM($F$18:O$18)</f>
        <v>574.75</v>
      </c>
      <c r="T184" s="123">
        <f>+$E184*SUM($F$18:P$18)</f>
        <v>574.75</v>
      </c>
      <c r="U184" s="123">
        <f>+$E184*SUM($F$18:Q$18)</f>
        <v>574.75</v>
      </c>
      <c r="V184" s="123">
        <f>+$E184*SUM($F$18:R$18)</f>
        <v>574.75</v>
      </c>
      <c r="W184" s="123">
        <f>+$E184*SUM($F$18:S$18)</f>
        <v>574.75</v>
      </c>
      <c r="X184" s="123">
        <f>+$E184*SUM($F$18:T$18)</f>
        <v>574.75</v>
      </c>
      <c r="Y184" s="123">
        <f>+$E184*SUM($F$18:U$18)</f>
        <v>574.75</v>
      </c>
    </row>
    <row r="185" spans="2:25" x14ac:dyDescent="0.2">
      <c r="B185" s="129" t="s">
        <v>31</v>
      </c>
      <c r="C185" s="79">
        <f>+'Inputs Field'!D141</f>
        <v>0.1</v>
      </c>
      <c r="D185" s="34">
        <f>+'Inputs Field'!F141</f>
        <v>2</v>
      </c>
      <c r="E185" s="34">
        <f>+C185*D185*'Assumptions &amp; Costs'!E$76*(1+'Assumptions &amp; Costs'!C$81)</f>
        <v>1.1495</v>
      </c>
      <c r="G185" s="123"/>
      <c r="J185" s="123">
        <f>+$E185*SUM($F$18:F$18)</f>
        <v>0</v>
      </c>
      <c r="K185" s="123">
        <f>+$E185*SUM($F$18:G$18)</f>
        <v>574.75</v>
      </c>
      <c r="L185" s="123">
        <f>+$E185*SUM($F$18:H$18)</f>
        <v>574.75</v>
      </c>
      <c r="M185" s="123">
        <f>+$E185*SUM($F$18:I$18)</f>
        <v>574.75</v>
      </c>
      <c r="N185" s="123">
        <f>+$E185*SUM($F$18:J$18)</f>
        <v>574.75</v>
      </c>
      <c r="O185" s="123">
        <f>+$E185*SUM($F$18:K$18)</f>
        <v>574.75</v>
      </c>
      <c r="P185" s="123">
        <f>+$E185*SUM($F$18:L$18)</f>
        <v>574.75</v>
      </c>
      <c r="Q185" s="123">
        <f>+$E185*SUM($F$18:M$18)</f>
        <v>574.75</v>
      </c>
      <c r="R185" s="123">
        <f>+$E185*SUM($F$18:N$18)</f>
        <v>574.75</v>
      </c>
      <c r="S185" s="123">
        <f>+$E185*SUM($F$18:O$18)</f>
        <v>574.75</v>
      </c>
      <c r="T185" s="123">
        <f>+$E185*SUM($F$18:P$18)</f>
        <v>574.75</v>
      </c>
      <c r="U185" s="123">
        <f>+$E185*SUM($F$18:Q$18)</f>
        <v>574.75</v>
      </c>
      <c r="V185" s="123">
        <f>+$E185*SUM($F$18:R$18)</f>
        <v>574.75</v>
      </c>
      <c r="W185" s="123">
        <f>+$E185*SUM($F$18:S$18)</f>
        <v>574.75</v>
      </c>
      <c r="X185" s="123">
        <f>+$E185*SUM($F$18:T$18)</f>
        <v>574.75</v>
      </c>
      <c r="Y185" s="123">
        <f>+$E185*SUM($F$18:U$18)</f>
        <v>574.75</v>
      </c>
    </row>
    <row r="186" spans="2:25" x14ac:dyDescent="0.2">
      <c r="B186" s="129" t="s">
        <v>58</v>
      </c>
      <c r="C186" s="79">
        <f>+'Inputs Field'!D142</f>
        <v>0.1</v>
      </c>
      <c r="D186" s="34">
        <f>+'Inputs Field'!F142</f>
        <v>2</v>
      </c>
      <c r="E186" s="34">
        <f>+C186*D186*'Assumptions &amp; Costs'!E$76*(1+'Assumptions &amp; Costs'!C$81)</f>
        <v>1.1495</v>
      </c>
      <c r="G186" s="123"/>
      <c r="J186" s="123">
        <f>+$E186*SUM($F$18:F$18)</f>
        <v>0</v>
      </c>
      <c r="K186" s="123">
        <f>+$E186*SUM($F$18:G$18)</f>
        <v>574.75</v>
      </c>
      <c r="L186" s="123">
        <f>+$E186*SUM($F$18:H$18)</f>
        <v>574.75</v>
      </c>
      <c r="M186" s="123">
        <f>+$E186*SUM($F$18:I$18)</f>
        <v>574.75</v>
      </c>
      <c r="N186" s="123">
        <f>+$E186*SUM($F$18:J$18)</f>
        <v>574.75</v>
      </c>
      <c r="O186" s="123">
        <f>+$E186*SUM($F$18:K$18)</f>
        <v>574.75</v>
      </c>
      <c r="P186" s="123">
        <f>+$E186*SUM($F$18:L$18)</f>
        <v>574.75</v>
      </c>
      <c r="Q186" s="123">
        <f>+$E186*SUM($F$18:M$18)</f>
        <v>574.75</v>
      </c>
      <c r="R186" s="123">
        <f>+$E186*SUM($F$18:N$18)</f>
        <v>574.75</v>
      </c>
      <c r="S186" s="123">
        <f>+$E186*SUM($F$18:O$18)</f>
        <v>574.75</v>
      </c>
      <c r="T186" s="123">
        <f>+$E186*SUM($F$18:P$18)</f>
        <v>574.75</v>
      </c>
      <c r="U186" s="123">
        <f>+$E186*SUM($F$18:Q$18)</f>
        <v>574.75</v>
      </c>
      <c r="V186" s="123">
        <f>+$E186*SUM($F$18:R$18)</f>
        <v>574.75</v>
      </c>
      <c r="W186" s="123">
        <f>+$E186*SUM($F$18:S$18)</f>
        <v>574.75</v>
      </c>
      <c r="X186" s="123">
        <f>+$E186*SUM($F$18:T$18)</f>
        <v>574.75</v>
      </c>
      <c r="Y186" s="123">
        <f>+$E186*SUM($F$18:U$18)</f>
        <v>574.75</v>
      </c>
    </row>
    <row r="187" spans="2:25" x14ac:dyDescent="0.2">
      <c r="B187" s="129" t="s">
        <v>83</v>
      </c>
      <c r="C187" s="79">
        <f>+'Inputs Field'!D143</f>
        <v>1</v>
      </c>
      <c r="D187" s="34">
        <f>+'Inputs Field'!F143</f>
        <v>2</v>
      </c>
      <c r="E187" s="34">
        <f>+C187*D187*'Assumptions &amp; Costs'!E$76*(1+'Assumptions &amp; Costs'!C$81)</f>
        <v>11.494999999999999</v>
      </c>
      <c r="G187" s="123"/>
      <c r="J187" s="123">
        <f>+$E187*SUM($F$18:F$18)</f>
        <v>0</v>
      </c>
      <c r="K187" s="123">
        <f>+$E187*SUM($F$18:G$18)</f>
        <v>5747.5</v>
      </c>
      <c r="L187" s="123">
        <f>+$E187*SUM($F$18:H$18)</f>
        <v>5747.5</v>
      </c>
      <c r="M187" s="123">
        <f>+$E187*SUM($F$18:I$18)</f>
        <v>5747.5</v>
      </c>
      <c r="N187" s="123">
        <f>+$E187*SUM($F$18:J$18)</f>
        <v>5747.5</v>
      </c>
      <c r="O187" s="123">
        <f>+$E187*SUM($F$18:K$18)</f>
        <v>5747.5</v>
      </c>
      <c r="P187" s="123">
        <f>+$E187*SUM($F$18:L$18)</f>
        <v>5747.5</v>
      </c>
      <c r="Q187" s="123">
        <f>+$E187*SUM($F$18:M$18)</f>
        <v>5747.5</v>
      </c>
      <c r="R187" s="123">
        <f>+$E187*SUM($F$18:N$18)</f>
        <v>5747.5</v>
      </c>
      <c r="S187" s="123">
        <f>+$E187*SUM($F$18:O$18)</f>
        <v>5747.5</v>
      </c>
      <c r="T187" s="123">
        <f>+$E187*SUM($F$18:P$18)</f>
        <v>5747.5</v>
      </c>
      <c r="U187" s="123">
        <f>+$E187*SUM($F$18:Q$18)</f>
        <v>5747.5</v>
      </c>
      <c r="V187" s="123">
        <f>+$E187*SUM($F$18:R$18)</f>
        <v>5747.5</v>
      </c>
      <c r="W187" s="123">
        <f>+$E187*SUM($F$18:S$18)</f>
        <v>5747.5</v>
      </c>
      <c r="X187" s="123">
        <f>+$E187*SUM($F$18:T$18)</f>
        <v>5747.5</v>
      </c>
      <c r="Y187" s="123">
        <f>+$E187*SUM($F$18:U$18)</f>
        <v>5747.5</v>
      </c>
    </row>
    <row r="188" spans="2:25" x14ac:dyDescent="0.2">
      <c r="B188" s="129" t="s">
        <v>46</v>
      </c>
      <c r="C188" s="76">
        <f>+'Inputs Field'!D146</f>
        <v>0.1</v>
      </c>
      <c r="D188" s="34"/>
      <c r="E188" s="34">
        <f>SUMPRODUCT(C$177:C$187,D$177:D$187)*C188*'Assumptions &amp; Costs'!E78*(1+'Assumptions &amp; Costs'!C$81)</f>
        <v>8.5428749999999987</v>
      </c>
      <c r="G188" s="123"/>
      <c r="J188" s="123">
        <f>+$E188*SUM($F$18:F$18)</f>
        <v>0</v>
      </c>
      <c r="K188" s="123">
        <f>+$E188*SUM($F$18:G$18)</f>
        <v>4271.4374999999991</v>
      </c>
      <c r="L188" s="123">
        <f>+$E188*SUM($F$18:H$18)</f>
        <v>4271.4374999999991</v>
      </c>
      <c r="M188" s="123">
        <f>+$E188*SUM($F$18:I$18)</f>
        <v>4271.4374999999991</v>
      </c>
      <c r="N188" s="123">
        <f>+$E188*SUM($F$18:J$18)</f>
        <v>4271.4374999999991</v>
      </c>
      <c r="O188" s="123">
        <f>+$E188*SUM($F$18:K$18)</f>
        <v>4271.4374999999991</v>
      </c>
      <c r="P188" s="123">
        <f>+$E188*SUM($F$18:L$18)</f>
        <v>4271.4374999999991</v>
      </c>
      <c r="Q188" s="123">
        <f>+$E188*SUM($F$18:M$18)</f>
        <v>4271.4374999999991</v>
      </c>
      <c r="R188" s="123">
        <f>+$E188*SUM($F$18:N$18)</f>
        <v>4271.4374999999991</v>
      </c>
      <c r="S188" s="123">
        <f>+$E188*SUM($F$18:O$18)</f>
        <v>4271.4374999999991</v>
      </c>
      <c r="T188" s="123">
        <f>+$E188*SUM($F$18:P$18)</f>
        <v>4271.4374999999991</v>
      </c>
      <c r="U188" s="123">
        <f>+$E188*SUM($F$18:Q$18)</f>
        <v>4271.4374999999991</v>
      </c>
      <c r="V188" s="123">
        <f>+$E188*SUM($F$18:R$18)</f>
        <v>4271.4374999999991</v>
      </c>
      <c r="W188" s="123">
        <f>+$E188*SUM($F$18:S$18)</f>
        <v>4271.4374999999991</v>
      </c>
      <c r="X188" s="123">
        <f>+$E188*SUM($F$18:T$18)</f>
        <v>4271.4374999999991</v>
      </c>
      <c r="Y188" s="123">
        <f>+$E188*SUM($F$18:U$18)</f>
        <v>4271.4374999999991</v>
      </c>
    </row>
    <row r="189" spans="2:25" x14ac:dyDescent="0.2">
      <c r="B189" s="129" t="s">
        <v>47</v>
      </c>
      <c r="C189" s="76">
        <f>+'Inputs Field'!D147</f>
        <v>0.05</v>
      </c>
      <c r="D189" s="34"/>
      <c r="E189" s="34">
        <f>SUMPRODUCT(C$177:C$187,D$177:D$187)*C189*'Assumptions &amp; Costs'!E79*(1+'Assumptions &amp; Costs'!C$81)</f>
        <v>16.428605769230767</v>
      </c>
      <c r="G189" s="123"/>
      <c r="J189" s="123">
        <f>+$E189*SUM($F$18:F$18)</f>
        <v>0</v>
      </c>
      <c r="K189" s="123">
        <f>+$E189*SUM($F$18:G$18)</f>
        <v>8214.3028846153829</v>
      </c>
      <c r="L189" s="123">
        <f>+$E189*SUM($F$18:H$18)</f>
        <v>8214.3028846153829</v>
      </c>
      <c r="M189" s="123">
        <f>+$E189*SUM($F$18:I$18)</f>
        <v>8214.3028846153829</v>
      </c>
      <c r="N189" s="123">
        <f>+$E189*SUM($F$18:J$18)</f>
        <v>8214.3028846153829</v>
      </c>
      <c r="O189" s="123">
        <f>+$E189*SUM($F$18:K$18)</f>
        <v>8214.3028846153829</v>
      </c>
      <c r="P189" s="123">
        <f>+$E189*SUM($F$18:L$18)</f>
        <v>8214.3028846153829</v>
      </c>
      <c r="Q189" s="123">
        <f>+$E189*SUM($F$18:M$18)</f>
        <v>8214.3028846153829</v>
      </c>
      <c r="R189" s="123">
        <f>+$E189*SUM($F$18:N$18)</f>
        <v>8214.3028846153829</v>
      </c>
      <c r="S189" s="123">
        <f>+$E189*SUM($F$18:O$18)</f>
        <v>8214.3028846153829</v>
      </c>
      <c r="T189" s="123">
        <f>+$E189*SUM($F$18:P$18)</f>
        <v>8214.3028846153829</v>
      </c>
      <c r="U189" s="123">
        <f>+$E189*SUM($F$18:Q$18)</f>
        <v>8214.3028846153829</v>
      </c>
      <c r="V189" s="123">
        <f>+$E189*SUM($F$18:R$18)</f>
        <v>8214.3028846153829</v>
      </c>
      <c r="W189" s="123">
        <f>+$E189*SUM($F$18:S$18)</f>
        <v>8214.3028846153829</v>
      </c>
      <c r="X189" s="123">
        <f>+$E189*SUM($F$18:T$18)</f>
        <v>8214.3028846153829</v>
      </c>
      <c r="Y189" s="123">
        <f>+$E189*SUM($F$18:U$18)</f>
        <v>8214.3028846153829</v>
      </c>
    </row>
    <row r="190" spans="2:25" x14ac:dyDescent="0.2">
      <c r="B190" s="1" t="s">
        <v>1</v>
      </c>
      <c r="C190" s="34"/>
      <c r="D190" s="34"/>
      <c r="E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</row>
    <row r="191" spans="2:25" x14ac:dyDescent="0.2">
      <c r="B191" s="129" t="s">
        <v>239</v>
      </c>
      <c r="C191" s="78">
        <f>+'Inputs Field'!H134</f>
        <v>1</v>
      </c>
      <c r="D191" s="34">
        <f>+'Inputs Field'!F134</f>
        <v>4</v>
      </c>
      <c r="E191" s="34">
        <f>+C191*D191*'Assumptions &amp; Costs'!C65</f>
        <v>40</v>
      </c>
      <c r="I191" s="123"/>
      <c r="J191" s="123">
        <f>+$E191*SUM($F$18:F$18)</f>
        <v>0</v>
      </c>
      <c r="K191" s="123">
        <f>+$E191*SUM($F$18:G$18)</f>
        <v>20000</v>
      </c>
      <c r="L191" s="123">
        <f>+$E191*SUM($F$18:H$18)</f>
        <v>20000</v>
      </c>
      <c r="M191" s="123">
        <f>+$E191*SUM($F$18:I$18)</f>
        <v>20000</v>
      </c>
      <c r="N191" s="123">
        <f>+$E191*SUM($F$18:J$18)</f>
        <v>20000</v>
      </c>
      <c r="O191" s="123">
        <f>+$E191*SUM($F$18:K$18)</f>
        <v>20000</v>
      </c>
      <c r="P191" s="123">
        <f>+$E191*SUM($F$18:L$18)</f>
        <v>20000</v>
      </c>
      <c r="Q191" s="123">
        <f>+$E191*SUM($F$18:M$18)</f>
        <v>20000</v>
      </c>
      <c r="R191" s="123">
        <f>+$E191*SUM($F$18:N$18)</f>
        <v>20000</v>
      </c>
      <c r="S191" s="123">
        <f>+$E191*SUM($F$18:O$18)</f>
        <v>20000</v>
      </c>
      <c r="T191" s="123">
        <f>+$E191*SUM($F$18:P$18)</f>
        <v>20000</v>
      </c>
      <c r="U191" s="123">
        <f>+$E191*SUM($F$18:Q$18)</f>
        <v>20000</v>
      </c>
      <c r="V191" s="123">
        <f>+$E191*SUM($F$18:R$18)</f>
        <v>20000</v>
      </c>
      <c r="W191" s="123">
        <f>+$E191*SUM($F$18:S$18)</f>
        <v>20000</v>
      </c>
      <c r="X191" s="123">
        <f>+$E191*SUM($F$18:T$18)</f>
        <v>20000</v>
      </c>
      <c r="Y191" s="123">
        <f>+$E191*SUM($F$18:U$18)</f>
        <v>20000</v>
      </c>
    </row>
    <row r="192" spans="2:25" x14ac:dyDescent="0.2">
      <c r="B192" s="129" t="s">
        <v>231</v>
      </c>
      <c r="C192" s="78">
        <f>+'Inputs Field'!H135</f>
        <v>1</v>
      </c>
      <c r="D192" s="34">
        <f>+'Inputs Field'!F135</f>
        <v>4</v>
      </c>
      <c r="E192" s="34">
        <f>+C192*D192*'Assumptions &amp; Costs'!C65</f>
        <v>40</v>
      </c>
      <c r="I192" s="123"/>
      <c r="J192" s="123">
        <f>+$E192*SUM($F$18:F$18)</f>
        <v>0</v>
      </c>
      <c r="K192" s="123">
        <f>+$E192*SUM($F$18:G$18)</f>
        <v>20000</v>
      </c>
      <c r="L192" s="123">
        <f>+$E192*SUM($F$18:H$18)</f>
        <v>20000</v>
      </c>
      <c r="M192" s="123">
        <f>+$E192*SUM($F$18:I$18)</f>
        <v>20000</v>
      </c>
      <c r="N192" s="123">
        <f>+$E192*SUM($F$18:J$18)</f>
        <v>20000</v>
      </c>
      <c r="O192" s="123">
        <f>+$E192*SUM($F$18:K$18)</f>
        <v>20000</v>
      </c>
      <c r="P192" s="123">
        <f>+$E192*SUM($F$18:L$18)</f>
        <v>20000</v>
      </c>
      <c r="Q192" s="123">
        <f>+$E192*SUM($F$18:M$18)</f>
        <v>20000</v>
      </c>
      <c r="R192" s="123">
        <f>+$E192*SUM($F$18:N$18)</f>
        <v>20000</v>
      </c>
      <c r="S192" s="123">
        <f>+$E192*SUM($F$18:O$18)</f>
        <v>20000</v>
      </c>
      <c r="T192" s="123">
        <f>+$E192*SUM($F$18:P$18)</f>
        <v>20000</v>
      </c>
      <c r="U192" s="123">
        <f>+$E192*SUM($F$18:Q$18)</f>
        <v>20000</v>
      </c>
      <c r="V192" s="123">
        <f>+$E192*SUM($F$18:R$18)</f>
        <v>20000</v>
      </c>
      <c r="W192" s="123">
        <f>+$E192*SUM($F$18:S$18)</f>
        <v>20000</v>
      </c>
      <c r="X192" s="123">
        <f>+$E192*SUM($F$18:T$18)</f>
        <v>20000</v>
      </c>
      <c r="Y192" s="123">
        <f>+$E192*SUM($F$18:U$18)</f>
        <v>20000</v>
      </c>
    </row>
    <row r="193" spans="2:25" x14ac:dyDescent="0.2">
      <c r="B193" s="129" t="s">
        <v>232</v>
      </c>
      <c r="C193" s="78">
        <f>+'Inputs Field'!H136</f>
        <v>2.5</v>
      </c>
      <c r="D193" s="34">
        <f>+'Inputs Field'!F136</f>
        <v>2</v>
      </c>
      <c r="E193" s="34">
        <f>+C193*D193*'Inputs Field'!H43*('Assumptions &amp; Costs'!C68+'Assumptions &amp; Costs'!C72)/1000</f>
        <v>420.80078643749988</v>
      </c>
      <c r="I193" s="123"/>
      <c r="J193" s="123">
        <f>+$E193*SUM($F$18:F$18)</f>
        <v>0</v>
      </c>
      <c r="K193" s="123">
        <f>+$E193*SUM($F$18:G$18)</f>
        <v>210400.39321874993</v>
      </c>
      <c r="L193" s="123">
        <f>+$E193*SUM($F$18:H$18)</f>
        <v>210400.39321874993</v>
      </c>
      <c r="M193" s="123">
        <f>+$E193*SUM($F$18:I$18)</f>
        <v>210400.39321874993</v>
      </c>
      <c r="N193" s="123">
        <f>+$E193*SUM($F$18:J$18)</f>
        <v>210400.39321874993</v>
      </c>
      <c r="O193" s="123">
        <f>+$E193*SUM($F$18:K$18)</f>
        <v>210400.39321874993</v>
      </c>
      <c r="P193" s="123">
        <f>+$E193*SUM($F$18:L$18)</f>
        <v>210400.39321874993</v>
      </c>
      <c r="Q193" s="123">
        <f>+$E193*SUM($F$18:M$18)</f>
        <v>210400.39321874993</v>
      </c>
      <c r="R193" s="123">
        <f>+$E193*SUM($F$18:N$18)</f>
        <v>210400.39321874993</v>
      </c>
      <c r="S193" s="123">
        <f>+$E193*SUM($F$18:O$18)</f>
        <v>210400.39321874993</v>
      </c>
      <c r="T193" s="123">
        <f>+$E193*SUM($F$18:P$18)</f>
        <v>210400.39321874993</v>
      </c>
      <c r="U193" s="123">
        <f>+$E193*SUM($F$18:Q$18)</f>
        <v>210400.39321874993</v>
      </c>
      <c r="V193" s="123">
        <f>+$E193*SUM($F$18:R$18)</f>
        <v>210400.39321874993</v>
      </c>
      <c r="W193" s="123">
        <f>+$E193*SUM($F$18:S$18)</f>
        <v>210400.39321874993</v>
      </c>
      <c r="X193" s="123">
        <f>+$E193*SUM($F$18:T$18)</f>
        <v>210400.39321874993</v>
      </c>
      <c r="Y193" s="123">
        <f>+$E193*SUM($F$18:U$18)</f>
        <v>210400.39321874993</v>
      </c>
    </row>
    <row r="194" spans="2:25" x14ac:dyDescent="0.2">
      <c r="B194" s="129" t="s">
        <v>240</v>
      </c>
      <c r="C194" s="78"/>
      <c r="D194" s="34"/>
      <c r="E194" s="34">
        <f>+'Inputs Field'!H139</f>
        <v>10</v>
      </c>
      <c r="I194" s="123"/>
      <c r="J194" s="123">
        <f>+$E194*SUM($F$18:F$18)</f>
        <v>0</v>
      </c>
      <c r="K194" s="123">
        <f>+$E194*SUM($F$18:G$18)</f>
        <v>5000</v>
      </c>
      <c r="L194" s="123">
        <f>+$E194*SUM($F$18:H$18)</f>
        <v>5000</v>
      </c>
      <c r="M194" s="123">
        <f>+$E194*SUM($F$18:I$18)</f>
        <v>5000</v>
      </c>
      <c r="N194" s="123">
        <f>+$E194*SUM($F$18:J$18)</f>
        <v>5000</v>
      </c>
      <c r="O194" s="123">
        <f>+$E194*SUM($F$18:K$18)</f>
        <v>5000</v>
      </c>
      <c r="P194" s="123">
        <f>+$E194*SUM($F$18:L$18)</f>
        <v>5000</v>
      </c>
      <c r="Q194" s="123">
        <f>+$E194*SUM($F$18:M$18)</f>
        <v>5000</v>
      </c>
      <c r="R194" s="123">
        <f>+$E194*SUM($F$18:N$18)</f>
        <v>5000</v>
      </c>
      <c r="S194" s="123">
        <f>+$E194*SUM($F$18:O$18)</f>
        <v>5000</v>
      </c>
      <c r="T194" s="123">
        <f>+$E194*SUM($F$18:P$18)</f>
        <v>5000</v>
      </c>
      <c r="U194" s="123">
        <f>+$E194*SUM($F$18:Q$18)</f>
        <v>5000</v>
      </c>
      <c r="V194" s="123">
        <f>+$E194*SUM($F$18:R$18)</f>
        <v>5000</v>
      </c>
      <c r="W194" s="123">
        <f>+$E194*SUM($F$18:S$18)</f>
        <v>5000</v>
      </c>
      <c r="X194" s="123">
        <f>+$E194*SUM($F$18:T$18)</f>
        <v>5000</v>
      </c>
      <c r="Y194" s="123">
        <f>+$E194*SUM($F$18:U$18)</f>
        <v>5000</v>
      </c>
    </row>
    <row r="195" spans="2:25" x14ac:dyDescent="0.2">
      <c r="B195" s="1" t="s">
        <v>101</v>
      </c>
      <c r="C195" s="34"/>
      <c r="D195" s="121" t="s">
        <v>60</v>
      </c>
      <c r="E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</row>
    <row r="196" spans="2:25" x14ac:dyDescent="0.2">
      <c r="B196" s="129" t="s">
        <v>242</v>
      </c>
      <c r="C196" s="34" t="s">
        <v>241</v>
      </c>
      <c r="D196" s="73">
        <f>+'Inputs Field'!K144</f>
        <v>0.5</v>
      </c>
      <c r="E196" s="34">
        <f>+D196*'Assumptions &amp; Costs'!D88</f>
        <v>5</v>
      </c>
      <c r="I196" s="123"/>
      <c r="J196" s="123">
        <f>+$E196*SUM($F$18:F$18)</f>
        <v>0</v>
      </c>
      <c r="K196" s="123">
        <f>+$E196*SUM($F$18:G$18)</f>
        <v>2500</v>
      </c>
      <c r="L196" s="123">
        <f>+$E196*SUM($F$18:H$18)</f>
        <v>2500</v>
      </c>
      <c r="M196" s="123">
        <f>+$E196*SUM($F$18:I$18)</f>
        <v>2500</v>
      </c>
      <c r="N196" s="123">
        <f>+$E196*SUM($F$18:J$18)</f>
        <v>2500</v>
      </c>
      <c r="O196" s="123">
        <f>+$E196*SUM($F$18:K$18)</f>
        <v>2500</v>
      </c>
      <c r="P196" s="123">
        <f>+$E196*SUM($F$18:L$18)</f>
        <v>2500</v>
      </c>
      <c r="Q196" s="123">
        <f>+$E196*SUM($F$18:M$18)</f>
        <v>2500</v>
      </c>
      <c r="R196" s="123">
        <f>+$E196*SUM($F$18:N$18)</f>
        <v>2500</v>
      </c>
      <c r="S196" s="123">
        <f>+$E196*SUM($F$18:O$18)</f>
        <v>2500</v>
      </c>
      <c r="T196" s="123">
        <f>+$E196*SUM($F$18:P$18)</f>
        <v>2500</v>
      </c>
      <c r="U196" s="123">
        <f>+$E196*SUM($F$18:Q$18)</f>
        <v>2500</v>
      </c>
      <c r="V196" s="123">
        <f>+$E196*SUM($F$18:R$18)</f>
        <v>2500</v>
      </c>
      <c r="W196" s="123">
        <f>+$E196*SUM($F$18:S$18)</f>
        <v>2500</v>
      </c>
      <c r="X196" s="123">
        <f>+$E196*SUM($F$18:T$18)</f>
        <v>2500</v>
      </c>
      <c r="Y196" s="123">
        <f>+$E196*SUM($F$18:U$18)</f>
        <v>2500</v>
      </c>
    </row>
    <row r="197" spans="2:25" x14ac:dyDescent="0.2">
      <c r="B197" s="129" t="s">
        <v>233</v>
      </c>
      <c r="C197" s="76">
        <f>+'Inputs Field'!H145</f>
        <v>0.05</v>
      </c>
      <c r="D197" s="34"/>
      <c r="E197" s="34">
        <f>SUM(E177:E187)*C197</f>
        <v>3.231662500000001</v>
      </c>
      <c r="I197" s="123"/>
      <c r="J197" s="123">
        <f>+$E197*SUM($F$18:F$18)</f>
        <v>0</v>
      </c>
      <c r="K197" s="123">
        <f>+$E197*SUM($F$18:G$18)</f>
        <v>1615.8312500000004</v>
      </c>
      <c r="L197" s="123">
        <f>+$E197*SUM($F$18:H$18)</f>
        <v>1615.8312500000004</v>
      </c>
      <c r="M197" s="123">
        <f>+$E197*SUM($F$18:I$18)</f>
        <v>1615.8312500000004</v>
      </c>
      <c r="N197" s="123">
        <f>+$E197*SUM($F$18:J$18)</f>
        <v>1615.8312500000004</v>
      </c>
      <c r="O197" s="123">
        <f>+$E197*SUM($F$18:K$18)</f>
        <v>1615.8312500000004</v>
      </c>
      <c r="P197" s="123">
        <f>+$E197*SUM($F$18:L$18)</f>
        <v>1615.8312500000004</v>
      </c>
      <c r="Q197" s="123">
        <f>+$E197*SUM($F$18:M$18)</f>
        <v>1615.8312500000004</v>
      </c>
      <c r="R197" s="123">
        <f>+$E197*SUM($F$18:N$18)</f>
        <v>1615.8312500000004</v>
      </c>
      <c r="S197" s="123">
        <f>+$E197*SUM($F$18:O$18)</f>
        <v>1615.8312500000004</v>
      </c>
      <c r="T197" s="123">
        <f>+$E197*SUM($F$18:P$18)</f>
        <v>1615.8312500000004</v>
      </c>
      <c r="U197" s="123">
        <f>+$E197*SUM($F$18:Q$18)</f>
        <v>1615.8312500000004</v>
      </c>
      <c r="V197" s="123">
        <f>+$E197*SUM($F$18:R$18)</f>
        <v>1615.8312500000004</v>
      </c>
      <c r="W197" s="123">
        <f>+$E197*SUM($F$18:S$18)</f>
        <v>1615.8312500000004</v>
      </c>
      <c r="X197" s="123">
        <f>+$E197*SUM($F$18:T$18)</f>
        <v>1615.8312500000004</v>
      </c>
      <c r="Y197" s="123">
        <f>+$E197*SUM($F$18:U$18)</f>
        <v>1615.8312500000004</v>
      </c>
    </row>
    <row r="198" spans="2:25" x14ac:dyDescent="0.2">
      <c r="B198" s="1" t="s">
        <v>86</v>
      </c>
      <c r="C198" s="123"/>
      <c r="D198" s="123"/>
      <c r="E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</row>
    <row r="199" spans="2:25" x14ac:dyDescent="0.2">
      <c r="B199" s="129" t="s">
        <v>234</v>
      </c>
      <c r="C199" s="123"/>
      <c r="D199" s="123"/>
      <c r="E199" s="34">
        <f>SUM(E177:E189)</f>
        <v>89.604730769230784</v>
      </c>
      <c r="G199" s="123"/>
      <c r="I199" s="123"/>
      <c r="J199" s="77">
        <f>SUM(J177:J189)</f>
        <v>0</v>
      </c>
      <c r="K199" s="77">
        <f t="shared" ref="K199:Y199" si="81">SUM(K177:K189)</f>
        <v>44802.365384615383</v>
      </c>
      <c r="L199" s="77">
        <f t="shared" si="81"/>
        <v>44802.365384615383</v>
      </c>
      <c r="M199" s="77">
        <f t="shared" si="81"/>
        <v>44802.365384615383</v>
      </c>
      <c r="N199" s="77">
        <f t="shared" si="81"/>
        <v>44802.365384615383</v>
      </c>
      <c r="O199" s="77">
        <f t="shared" si="81"/>
        <v>44802.365384615383</v>
      </c>
      <c r="P199" s="77">
        <f t="shared" si="81"/>
        <v>44802.365384615383</v>
      </c>
      <c r="Q199" s="77">
        <f t="shared" si="81"/>
        <v>44802.365384615383</v>
      </c>
      <c r="R199" s="77">
        <f t="shared" si="81"/>
        <v>44802.365384615383</v>
      </c>
      <c r="S199" s="77">
        <f t="shared" si="81"/>
        <v>44802.365384615383</v>
      </c>
      <c r="T199" s="77">
        <f t="shared" si="81"/>
        <v>44802.365384615383</v>
      </c>
      <c r="U199" s="77">
        <f t="shared" si="81"/>
        <v>44802.365384615383</v>
      </c>
      <c r="V199" s="77">
        <f t="shared" si="81"/>
        <v>44802.365384615383</v>
      </c>
      <c r="W199" s="77">
        <f t="shared" si="81"/>
        <v>44802.365384615383</v>
      </c>
      <c r="X199" s="77">
        <f t="shared" si="81"/>
        <v>44802.365384615383</v>
      </c>
      <c r="Y199" s="77">
        <f t="shared" si="81"/>
        <v>44802.365384615383</v>
      </c>
    </row>
    <row r="200" spans="2:25" x14ac:dyDescent="0.2">
      <c r="B200" s="129" t="s">
        <v>1</v>
      </c>
      <c r="C200" s="123"/>
      <c r="D200" s="123"/>
      <c r="E200" s="34">
        <f>SUM(E191:E194)</f>
        <v>510.80078643749988</v>
      </c>
      <c r="G200" s="123"/>
      <c r="I200" s="123"/>
      <c r="J200" s="77">
        <f>SUM(J191:J194)</f>
        <v>0</v>
      </c>
      <c r="K200" s="77">
        <f t="shared" ref="K200:Y200" si="82">SUM(K191:K194)</f>
        <v>255400.39321874993</v>
      </c>
      <c r="L200" s="77">
        <f t="shared" si="82"/>
        <v>255400.39321874993</v>
      </c>
      <c r="M200" s="77">
        <f t="shared" si="82"/>
        <v>255400.39321874993</v>
      </c>
      <c r="N200" s="77">
        <f t="shared" si="82"/>
        <v>255400.39321874993</v>
      </c>
      <c r="O200" s="77">
        <f t="shared" si="82"/>
        <v>255400.39321874993</v>
      </c>
      <c r="P200" s="77">
        <f t="shared" si="82"/>
        <v>255400.39321874993</v>
      </c>
      <c r="Q200" s="77">
        <f t="shared" si="82"/>
        <v>255400.39321874993</v>
      </c>
      <c r="R200" s="77">
        <f t="shared" si="82"/>
        <v>255400.39321874993</v>
      </c>
      <c r="S200" s="77">
        <f t="shared" si="82"/>
        <v>255400.39321874993</v>
      </c>
      <c r="T200" s="77">
        <f t="shared" si="82"/>
        <v>255400.39321874993</v>
      </c>
      <c r="U200" s="77">
        <f t="shared" si="82"/>
        <v>255400.39321874993</v>
      </c>
      <c r="V200" s="77">
        <f t="shared" si="82"/>
        <v>255400.39321874993</v>
      </c>
      <c r="W200" s="77">
        <f t="shared" si="82"/>
        <v>255400.39321874993</v>
      </c>
      <c r="X200" s="77">
        <f t="shared" si="82"/>
        <v>255400.39321874993</v>
      </c>
      <c r="Y200" s="77">
        <f t="shared" si="82"/>
        <v>255400.39321874993</v>
      </c>
    </row>
    <row r="201" spans="2:25" x14ac:dyDescent="0.2">
      <c r="B201" s="129" t="s">
        <v>101</v>
      </c>
      <c r="C201" s="123"/>
      <c r="D201" s="123"/>
      <c r="E201" s="34">
        <f>SUM(E196:E197)</f>
        <v>8.2316625000000005</v>
      </c>
      <c r="G201" s="123"/>
      <c r="I201" s="123"/>
      <c r="J201" s="77">
        <f>SUM(J196:J197)</f>
        <v>0</v>
      </c>
      <c r="K201" s="77">
        <f t="shared" ref="K201:Y201" si="83">SUM(K196:K197)</f>
        <v>4115.8312500000002</v>
      </c>
      <c r="L201" s="77">
        <f t="shared" si="83"/>
        <v>4115.8312500000002</v>
      </c>
      <c r="M201" s="77">
        <f t="shared" si="83"/>
        <v>4115.8312500000002</v>
      </c>
      <c r="N201" s="77">
        <f t="shared" si="83"/>
        <v>4115.8312500000002</v>
      </c>
      <c r="O201" s="77">
        <f t="shared" si="83"/>
        <v>4115.8312500000002</v>
      </c>
      <c r="P201" s="77">
        <f t="shared" si="83"/>
        <v>4115.8312500000002</v>
      </c>
      <c r="Q201" s="77">
        <f t="shared" si="83"/>
        <v>4115.8312500000002</v>
      </c>
      <c r="R201" s="77">
        <f t="shared" si="83"/>
        <v>4115.8312500000002</v>
      </c>
      <c r="S201" s="77">
        <f t="shared" si="83"/>
        <v>4115.8312500000002</v>
      </c>
      <c r="T201" s="77">
        <f t="shared" si="83"/>
        <v>4115.8312500000002</v>
      </c>
      <c r="U201" s="77">
        <f t="shared" si="83"/>
        <v>4115.8312500000002</v>
      </c>
      <c r="V201" s="77">
        <f t="shared" si="83"/>
        <v>4115.8312500000002</v>
      </c>
      <c r="W201" s="77">
        <f t="shared" si="83"/>
        <v>4115.8312500000002</v>
      </c>
      <c r="X201" s="77">
        <f t="shared" si="83"/>
        <v>4115.8312500000002</v>
      </c>
      <c r="Y201" s="77">
        <f t="shared" si="83"/>
        <v>4115.8312500000002</v>
      </c>
    </row>
    <row r="202" spans="2:25" x14ac:dyDescent="0.2">
      <c r="B202" s="1" t="s">
        <v>114</v>
      </c>
      <c r="C202" s="123"/>
      <c r="D202" s="123"/>
      <c r="E202" s="34">
        <f>SUM(E199:E201)</f>
        <v>608.63717970673065</v>
      </c>
      <c r="I202" s="123"/>
      <c r="J202" s="77">
        <f>SUM(J199:J201)</f>
        <v>0</v>
      </c>
      <c r="K202" s="77">
        <f t="shared" ref="K202:Y202" si="84">SUM(K199:K201)</f>
        <v>304318.58985336532</v>
      </c>
      <c r="L202" s="77">
        <f t="shared" si="84"/>
        <v>304318.58985336532</v>
      </c>
      <c r="M202" s="77">
        <f t="shared" si="84"/>
        <v>304318.58985336532</v>
      </c>
      <c r="N202" s="77">
        <f t="shared" si="84"/>
        <v>304318.58985336532</v>
      </c>
      <c r="O202" s="77">
        <f t="shared" si="84"/>
        <v>304318.58985336532</v>
      </c>
      <c r="P202" s="77">
        <f t="shared" si="84"/>
        <v>304318.58985336532</v>
      </c>
      <c r="Q202" s="77">
        <f t="shared" si="84"/>
        <v>304318.58985336532</v>
      </c>
      <c r="R202" s="77">
        <f t="shared" si="84"/>
        <v>304318.58985336532</v>
      </c>
      <c r="S202" s="77">
        <f t="shared" si="84"/>
        <v>304318.58985336532</v>
      </c>
      <c r="T202" s="77">
        <f t="shared" si="84"/>
        <v>304318.58985336532</v>
      </c>
      <c r="U202" s="77">
        <f t="shared" si="84"/>
        <v>304318.58985336532</v>
      </c>
      <c r="V202" s="77">
        <f t="shared" si="84"/>
        <v>304318.58985336532</v>
      </c>
      <c r="W202" s="77">
        <f t="shared" si="84"/>
        <v>304318.58985336532</v>
      </c>
      <c r="X202" s="77">
        <f t="shared" si="84"/>
        <v>304318.58985336532</v>
      </c>
      <c r="Y202" s="77">
        <f t="shared" si="84"/>
        <v>304318.58985336532</v>
      </c>
    </row>
    <row r="203" spans="2:25" x14ac:dyDescent="0.2">
      <c r="C203" s="123"/>
      <c r="D203" s="123"/>
      <c r="E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</row>
    <row r="204" spans="2:25" x14ac:dyDescent="0.2">
      <c r="B204" s="1" t="s">
        <v>402</v>
      </c>
      <c r="C204" s="123"/>
      <c r="D204" s="123"/>
      <c r="E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</row>
    <row r="205" spans="2:25" x14ac:dyDescent="0.2">
      <c r="B205" s="129" t="s">
        <v>234</v>
      </c>
      <c r="C205" s="123"/>
      <c r="D205" s="123"/>
      <c r="E205" s="123"/>
      <c r="F205" s="123">
        <f t="shared" ref="F205:Y205" si="85">+F199+F170+F144+F119+F87</f>
        <v>0</v>
      </c>
      <c r="G205" s="123">
        <f t="shared" si="85"/>
        <v>504393.36538461538</v>
      </c>
      <c r="H205" s="123">
        <f t="shared" si="85"/>
        <v>224252.98076923078</v>
      </c>
      <c r="I205" s="123">
        <f t="shared" si="85"/>
        <v>77743.980769230766</v>
      </c>
      <c r="J205" s="123">
        <f t="shared" si="85"/>
        <v>61275.182692307688</v>
      </c>
      <c r="K205" s="123">
        <f t="shared" si="85"/>
        <v>44802.365384615383</v>
      </c>
      <c r="L205" s="123">
        <f t="shared" si="85"/>
        <v>44802.365384615383</v>
      </c>
      <c r="M205" s="123">
        <f t="shared" si="85"/>
        <v>44802.365384615383</v>
      </c>
      <c r="N205" s="123">
        <f t="shared" si="85"/>
        <v>44802.365384615383</v>
      </c>
      <c r="O205" s="123">
        <f t="shared" si="85"/>
        <v>44802.365384615383</v>
      </c>
      <c r="P205" s="123">
        <f t="shared" si="85"/>
        <v>44802.365384615383</v>
      </c>
      <c r="Q205" s="123">
        <f t="shared" si="85"/>
        <v>44802.365384615383</v>
      </c>
      <c r="R205" s="123">
        <f t="shared" si="85"/>
        <v>44802.365384615383</v>
      </c>
      <c r="S205" s="123">
        <f t="shared" si="85"/>
        <v>44802.365384615383</v>
      </c>
      <c r="T205" s="123">
        <f t="shared" si="85"/>
        <v>44802.365384615383</v>
      </c>
      <c r="U205" s="123">
        <f t="shared" si="85"/>
        <v>44802.365384615383</v>
      </c>
      <c r="V205" s="123">
        <f t="shared" si="85"/>
        <v>44802.365384615383</v>
      </c>
      <c r="W205" s="123">
        <f t="shared" si="85"/>
        <v>44802.365384615383</v>
      </c>
      <c r="X205" s="123">
        <f t="shared" si="85"/>
        <v>44802.365384615383</v>
      </c>
      <c r="Y205" s="123">
        <f t="shared" si="85"/>
        <v>44802.365384615383</v>
      </c>
    </row>
    <row r="206" spans="2:25" x14ac:dyDescent="0.2">
      <c r="B206" s="129" t="s">
        <v>1</v>
      </c>
      <c r="C206" s="123"/>
      <c r="D206" s="123"/>
      <c r="E206" s="123"/>
      <c r="F206" s="123">
        <f t="shared" ref="F206:Y206" si="86">+F200+F171+F145+F120+F88</f>
        <v>0</v>
      </c>
      <c r="G206" s="123">
        <f t="shared" si="86"/>
        <v>435181.40468408843</v>
      </c>
      <c r="H206" s="123">
        <f t="shared" si="86"/>
        <v>181917.93337345921</v>
      </c>
      <c r="I206" s="123">
        <f t="shared" si="86"/>
        <v>235400.39321874993</v>
      </c>
      <c r="J206" s="123">
        <f t="shared" si="86"/>
        <v>174138.21353124996</v>
      </c>
      <c r="K206" s="123">
        <f t="shared" si="86"/>
        <v>255400.39321874993</v>
      </c>
      <c r="L206" s="123">
        <f t="shared" si="86"/>
        <v>255400.39321874993</v>
      </c>
      <c r="M206" s="123">
        <f t="shared" si="86"/>
        <v>255400.39321874993</v>
      </c>
      <c r="N206" s="123">
        <f t="shared" si="86"/>
        <v>255400.39321874993</v>
      </c>
      <c r="O206" s="123">
        <f t="shared" si="86"/>
        <v>255400.39321874993</v>
      </c>
      <c r="P206" s="123">
        <f t="shared" si="86"/>
        <v>255400.39321874993</v>
      </c>
      <c r="Q206" s="123">
        <f t="shared" si="86"/>
        <v>255400.39321874993</v>
      </c>
      <c r="R206" s="123">
        <f t="shared" si="86"/>
        <v>255400.39321874993</v>
      </c>
      <c r="S206" s="123">
        <f t="shared" si="86"/>
        <v>255400.39321874993</v>
      </c>
      <c r="T206" s="123">
        <f t="shared" si="86"/>
        <v>255400.39321874993</v>
      </c>
      <c r="U206" s="123">
        <f t="shared" si="86"/>
        <v>255400.39321874993</v>
      </c>
      <c r="V206" s="123">
        <f t="shared" si="86"/>
        <v>255400.39321874993</v>
      </c>
      <c r="W206" s="123">
        <f t="shared" si="86"/>
        <v>255400.39321874993</v>
      </c>
      <c r="X206" s="123">
        <f t="shared" si="86"/>
        <v>255400.39321874993</v>
      </c>
      <c r="Y206" s="123">
        <f t="shared" si="86"/>
        <v>255400.39321874993</v>
      </c>
    </row>
    <row r="207" spans="2:25" x14ac:dyDescent="0.2">
      <c r="B207" s="129" t="s">
        <v>101</v>
      </c>
      <c r="C207" s="123"/>
      <c r="D207" s="123"/>
      <c r="E207" s="123"/>
      <c r="F207" s="123">
        <f t="shared" ref="F207:Y207" si="87">+F201+F172+F146+F121+F89</f>
        <v>0</v>
      </c>
      <c r="G207" s="123">
        <f t="shared" si="87"/>
        <v>672719.66826923075</v>
      </c>
      <c r="H207" s="123">
        <f t="shared" si="87"/>
        <v>25528.212500000001</v>
      </c>
      <c r="I207" s="123">
        <f t="shared" si="87"/>
        <v>5287.5375000000004</v>
      </c>
      <c r="J207" s="123">
        <f t="shared" si="87"/>
        <v>4693.1937500000004</v>
      </c>
      <c r="K207" s="123">
        <f t="shared" si="87"/>
        <v>4115.8312500000002</v>
      </c>
      <c r="L207" s="123">
        <f t="shared" si="87"/>
        <v>4115.8312500000002</v>
      </c>
      <c r="M207" s="123">
        <f t="shared" si="87"/>
        <v>4115.8312500000002</v>
      </c>
      <c r="N207" s="123">
        <f t="shared" si="87"/>
        <v>4115.8312500000002</v>
      </c>
      <c r="O207" s="123">
        <f t="shared" si="87"/>
        <v>4115.8312500000002</v>
      </c>
      <c r="P207" s="123">
        <f t="shared" si="87"/>
        <v>4115.8312500000002</v>
      </c>
      <c r="Q207" s="123">
        <f t="shared" si="87"/>
        <v>4115.8312500000002</v>
      </c>
      <c r="R207" s="123">
        <f t="shared" si="87"/>
        <v>4115.8312500000002</v>
      </c>
      <c r="S207" s="123">
        <f t="shared" si="87"/>
        <v>4115.8312500000002</v>
      </c>
      <c r="T207" s="123">
        <f t="shared" si="87"/>
        <v>4115.8312500000002</v>
      </c>
      <c r="U207" s="123">
        <f t="shared" si="87"/>
        <v>4115.8312500000002</v>
      </c>
      <c r="V207" s="123">
        <f t="shared" si="87"/>
        <v>4115.8312500000002</v>
      </c>
      <c r="W207" s="123">
        <f t="shared" si="87"/>
        <v>4115.8312500000002</v>
      </c>
      <c r="X207" s="123">
        <f t="shared" si="87"/>
        <v>4115.8312500000002</v>
      </c>
      <c r="Y207" s="123">
        <f t="shared" si="87"/>
        <v>4115.8312500000002</v>
      </c>
    </row>
    <row r="208" spans="2:25" x14ac:dyDescent="0.2">
      <c r="B208" s="1" t="s">
        <v>114</v>
      </c>
      <c r="C208" s="123"/>
      <c r="D208" s="123"/>
      <c r="E208" s="123"/>
      <c r="F208" s="123">
        <f>SUM(F205:F207)</f>
        <v>0</v>
      </c>
      <c r="G208" s="123">
        <f t="shared" ref="G208:Y208" si="88">SUM(G205:G207)</f>
        <v>1612294.4383379347</v>
      </c>
      <c r="H208" s="123">
        <f t="shared" si="88"/>
        <v>431699.12664269004</v>
      </c>
      <c r="I208" s="123">
        <f t="shared" si="88"/>
        <v>318431.91148798069</v>
      </c>
      <c r="J208" s="123">
        <f t="shared" si="88"/>
        <v>240106.58997355765</v>
      </c>
      <c r="K208" s="123">
        <f t="shared" si="88"/>
        <v>304318.58985336532</v>
      </c>
      <c r="L208" s="123">
        <f t="shared" si="88"/>
        <v>304318.58985336532</v>
      </c>
      <c r="M208" s="123">
        <f t="shared" si="88"/>
        <v>304318.58985336532</v>
      </c>
      <c r="N208" s="123">
        <f t="shared" si="88"/>
        <v>304318.58985336532</v>
      </c>
      <c r="O208" s="123">
        <f t="shared" si="88"/>
        <v>304318.58985336532</v>
      </c>
      <c r="P208" s="123">
        <f t="shared" si="88"/>
        <v>304318.58985336532</v>
      </c>
      <c r="Q208" s="123">
        <f t="shared" si="88"/>
        <v>304318.58985336532</v>
      </c>
      <c r="R208" s="123">
        <f t="shared" si="88"/>
        <v>304318.58985336532</v>
      </c>
      <c r="S208" s="123">
        <f t="shared" si="88"/>
        <v>304318.58985336532</v>
      </c>
      <c r="T208" s="123">
        <f t="shared" si="88"/>
        <v>304318.58985336532</v>
      </c>
      <c r="U208" s="123">
        <f t="shared" si="88"/>
        <v>304318.58985336532</v>
      </c>
      <c r="V208" s="123">
        <f t="shared" si="88"/>
        <v>304318.58985336532</v>
      </c>
      <c r="W208" s="123">
        <f t="shared" si="88"/>
        <v>304318.58985336532</v>
      </c>
      <c r="X208" s="123">
        <f t="shared" si="88"/>
        <v>304318.58985336532</v>
      </c>
      <c r="Y208" s="123">
        <f t="shared" si="88"/>
        <v>304318.58985336532</v>
      </c>
    </row>
    <row r="209" spans="2:25" x14ac:dyDescent="0.2">
      <c r="B209" s="1"/>
      <c r="C209" s="123"/>
      <c r="D209" s="123"/>
      <c r="E209" s="123"/>
    </row>
    <row r="211" spans="2:25" x14ac:dyDescent="0.2">
      <c r="B211" s="1" t="s">
        <v>383</v>
      </c>
      <c r="F211" s="123">
        <f t="shared" ref="F211:Y211" si="89">+F173+F147+F122+F90</f>
        <v>0</v>
      </c>
      <c r="G211" s="123">
        <f t="shared" si="89"/>
        <v>1612294.4383379347</v>
      </c>
      <c r="H211" s="123">
        <f t="shared" si="89"/>
        <v>431699.12664269004</v>
      </c>
      <c r="I211" s="123">
        <f t="shared" si="89"/>
        <v>318431.91148798069</v>
      </c>
      <c r="J211" s="123">
        <f t="shared" si="89"/>
        <v>240106.58997355765</v>
      </c>
      <c r="K211" s="123">
        <f t="shared" si="89"/>
        <v>0</v>
      </c>
      <c r="L211" s="123">
        <f t="shared" si="89"/>
        <v>0</v>
      </c>
      <c r="M211" s="123">
        <f t="shared" si="89"/>
        <v>0</v>
      </c>
      <c r="N211" s="123">
        <f t="shared" si="89"/>
        <v>0</v>
      </c>
      <c r="O211" s="123">
        <f t="shared" si="89"/>
        <v>0</v>
      </c>
      <c r="P211" s="123">
        <f t="shared" si="89"/>
        <v>0</v>
      </c>
      <c r="Q211" s="123">
        <f t="shared" si="89"/>
        <v>0</v>
      </c>
      <c r="R211" s="123">
        <f t="shared" si="89"/>
        <v>0</v>
      </c>
      <c r="S211" s="123">
        <f t="shared" si="89"/>
        <v>0</v>
      </c>
      <c r="T211" s="123">
        <f t="shared" si="89"/>
        <v>0</v>
      </c>
      <c r="U211" s="123">
        <f t="shared" si="89"/>
        <v>0</v>
      </c>
      <c r="V211" s="123">
        <f t="shared" si="89"/>
        <v>0</v>
      </c>
      <c r="W211" s="123">
        <f t="shared" si="89"/>
        <v>0</v>
      </c>
      <c r="X211" s="123">
        <f t="shared" si="89"/>
        <v>0</v>
      </c>
      <c r="Y211" s="123">
        <f t="shared" si="89"/>
        <v>0</v>
      </c>
    </row>
    <row r="212" spans="2:25" x14ac:dyDescent="0.2">
      <c r="B212" s="1" t="s">
        <v>197</v>
      </c>
      <c r="F212" s="123">
        <f>+F202</f>
        <v>0</v>
      </c>
      <c r="G212" s="123">
        <f t="shared" ref="G212:Y212" si="90">+G202</f>
        <v>0</v>
      </c>
      <c r="H212" s="123">
        <f t="shared" si="90"/>
        <v>0</v>
      </c>
      <c r="I212" s="123">
        <f t="shared" si="90"/>
        <v>0</v>
      </c>
      <c r="J212" s="123">
        <f t="shared" si="90"/>
        <v>0</v>
      </c>
      <c r="K212" s="123">
        <f t="shared" si="90"/>
        <v>304318.58985336532</v>
      </c>
      <c r="L212" s="123">
        <f t="shared" si="90"/>
        <v>304318.58985336532</v>
      </c>
      <c r="M212" s="123">
        <f t="shared" si="90"/>
        <v>304318.58985336532</v>
      </c>
      <c r="N212" s="123">
        <f t="shared" si="90"/>
        <v>304318.58985336532</v>
      </c>
      <c r="O212" s="123">
        <f t="shared" si="90"/>
        <v>304318.58985336532</v>
      </c>
      <c r="P212" s="123">
        <f t="shared" si="90"/>
        <v>304318.58985336532</v>
      </c>
      <c r="Q212" s="123">
        <f t="shared" si="90"/>
        <v>304318.58985336532</v>
      </c>
      <c r="R212" s="123">
        <f t="shared" si="90"/>
        <v>304318.58985336532</v>
      </c>
      <c r="S212" s="123">
        <f t="shared" si="90"/>
        <v>304318.58985336532</v>
      </c>
      <c r="T212" s="123">
        <f t="shared" si="90"/>
        <v>304318.58985336532</v>
      </c>
      <c r="U212" s="123">
        <f t="shared" si="90"/>
        <v>304318.58985336532</v>
      </c>
      <c r="V212" s="123">
        <f t="shared" si="90"/>
        <v>304318.58985336532</v>
      </c>
      <c r="W212" s="123">
        <f t="shared" si="90"/>
        <v>304318.58985336532</v>
      </c>
      <c r="X212" s="123">
        <f t="shared" si="90"/>
        <v>304318.58985336532</v>
      </c>
      <c r="Y212" s="123">
        <f t="shared" si="90"/>
        <v>304318.58985336532</v>
      </c>
    </row>
    <row r="213" spans="2:25" x14ac:dyDescent="0.2">
      <c r="B213" s="1" t="s">
        <v>198</v>
      </c>
      <c r="F213" s="123">
        <f t="shared" ref="F213:Y213" si="91">+F44</f>
        <v>0</v>
      </c>
      <c r="G213" s="123">
        <f t="shared" si="91"/>
        <v>0</v>
      </c>
      <c r="H213" s="123">
        <f t="shared" si="91"/>
        <v>0</v>
      </c>
      <c r="I213" s="123">
        <f t="shared" si="91"/>
        <v>0</v>
      </c>
      <c r="J213" s="123">
        <f t="shared" si="91"/>
        <v>82936.666666666657</v>
      </c>
      <c r="K213" s="123">
        <f t="shared" si="91"/>
        <v>135220</v>
      </c>
      <c r="L213" s="123">
        <f t="shared" si="91"/>
        <v>187155</v>
      </c>
      <c r="M213" s="123">
        <f t="shared" si="91"/>
        <v>222187.5</v>
      </c>
      <c r="N213" s="123">
        <f t="shared" si="91"/>
        <v>247371.25</v>
      </c>
      <c r="O213" s="123">
        <f t="shared" si="91"/>
        <v>270269.0625</v>
      </c>
      <c r="P213" s="123">
        <f t="shared" si="91"/>
        <v>256618.75</v>
      </c>
      <c r="Q213" s="123">
        <f t="shared" si="91"/>
        <v>255791.45833333334</v>
      </c>
      <c r="R213" s="123">
        <f t="shared" si="91"/>
        <v>251655</v>
      </c>
      <c r="S213" s="123">
        <f t="shared" si="91"/>
        <v>254964.16666666669</v>
      </c>
      <c r="T213" s="123">
        <f t="shared" si="91"/>
        <v>260962.03125</v>
      </c>
      <c r="U213" s="123">
        <f t="shared" si="91"/>
        <v>263334.4117647059</v>
      </c>
      <c r="V213" s="123">
        <f t="shared" si="91"/>
        <v>265443.19444444444</v>
      </c>
      <c r="W213" s="123">
        <f t="shared" si="91"/>
        <v>272555</v>
      </c>
      <c r="X213" s="123">
        <f t="shared" si="91"/>
        <v>271510</v>
      </c>
      <c r="Y213" s="123">
        <f t="shared" si="91"/>
        <v>271510</v>
      </c>
    </row>
    <row r="217" spans="2:25" x14ac:dyDescent="0.2">
      <c r="B217" s="129" t="s">
        <v>554</v>
      </c>
      <c r="G217" s="123">
        <f>SUM(G50:G64)+SUM(G94:G104)+SUM(G126:G133)+SUM(G151:G159)</f>
        <v>360864.625</v>
      </c>
      <c r="H217" s="123">
        <f t="shared" ref="H217:Y217" si="92">SUM(H50:H64)+SUM(H94:H104)+SUM(H126:H133)+SUM(H151:H159)</f>
        <v>160564.25</v>
      </c>
      <c r="I217" s="123">
        <f t="shared" si="92"/>
        <v>55750.75</v>
      </c>
      <c r="J217" s="123">
        <f t="shared" si="92"/>
        <v>43863.875</v>
      </c>
      <c r="K217" s="123">
        <f t="shared" si="92"/>
        <v>0</v>
      </c>
      <c r="L217" s="123">
        <f t="shared" si="92"/>
        <v>0</v>
      </c>
      <c r="M217" s="123">
        <f t="shared" si="92"/>
        <v>0</v>
      </c>
      <c r="N217" s="123">
        <f t="shared" si="92"/>
        <v>0</v>
      </c>
      <c r="O217" s="123">
        <f t="shared" si="92"/>
        <v>0</v>
      </c>
      <c r="P217" s="123">
        <f t="shared" si="92"/>
        <v>0</v>
      </c>
      <c r="Q217" s="123">
        <f t="shared" si="92"/>
        <v>0</v>
      </c>
      <c r="R217" s="123">
        <f t="shared" si="92"/>
        <v>0</v>
      </c>
      <c r="S217" s="123">
        <f t="shared" si="92"/>
        <v>0</v>
      </c>
      <c r="T217" s="123">
        <f t="shared" si="92"/>
        <v>0</v>
      </c>
      <c r="U217" s="123">
        <f t="shared" si="92"/>
        <v>0</v>
      </c>
      <c r="V217" s="123">
        <f t="shared" si="92"/>
        <v>0</v>
      </c>
      <c r="W217" s="123">
        <f t="shared" si="92"/>
        <v>0</v>
      </c>
      <c r="X217" s="123">
        <f t="shared" si="92"/>
        <v>0</v>
      </c>
      <c r="Y217" s="123">
        <f t="shared" si="92"/>
        <v>0</v>
      </c>
    </row>
    <row r="218" spans="2:25" x14ac:dyDescent="0.2">
      <c r="B218" s="129" t="s">
        <v>555</v>
      </c>
      <c r="G218" s="123">
        <f>SUM(G177:G187)</f>
        <v>0</v>
      </c>
      <c r="H218" s="123">
        <f t="shared" ref="H218:Y218" si="93">SUM(H177:H187)</f>
        <v>0</v>
      </c>
      <c r="I218" s="123">
        <f t="shared" si="93"/>
        <v>0</v>
      </c>
      <c r="J218" s="123">
        <f t="shared" si="93"/>
        <v>0</v>
      </c>
      <c r="K218" s="123">
        <f t="shared" si="93"/>
        <v>32316.625</v>
      </c>
      <c r="L218" s="123">
        <f t="shared" si="93"/>
        <v>32316.625</v>
      </c>
      <c r="M218" s="123">
        <f t="shared" si="93"/>
        <v>32316.625</v>
      </c>
      <c r="N218" s="123">
        <f t="shared" si="93"/>
        <v>32316.625</v>
      </c>
      <c r="O218" s="123">
        <f t="shared" si="93"/>
        <v>32316.625</v>
      </c>
      <c r="P218" s="123">
        <f t="shared" si="93"/>
        <v>32316.625</v>
      </c>
      <c r="Q218" s="123">
        <f t="shared" si="93"/>
        <v>32316.625</v>
      </c>
      <c r="R218" s="123">
        <f t="shared" si="93"/>
        <v>32316.625</v>
      </c>
      <c r="S218" s="123">
        <f t="shared" si="93"/>
        <v>32316.625</v>
      </c>
      <c r="T218" s="123">
        <f t="shared" si="93"/>
        <v>32316.625</v>
      </c>
      <c r="U218" s="123">
        <f t="shared" si="93"/>
        <v>32316.625</v>
      </c>
      <c r="V218" s="123">
        <f t="shared" si="93"/>
        <v>32316.625</v>
      </c>
      <c r="W218" s="123">
        <f t="shared" si="93"/>
        <v>32316.625</v>
      </c>
      <c r="X218" s="123">
        <f t="shared" si="93"/>
        <v>32316.625</v>
      </c>
      <c r="Y218" s="123">
        <f t="shared" si="93"/>
        <v>32316.625</v>
      </c>
    </row>
    <row r="219" spans="2:25" x14ac:dyDescent="0.2">
      <c r="B219" s="129" t="s">
        <v>556</v>
      </c>
      <c r="G219" s="231">
        <f>+G40</f>
        <v>0</v>
      </c>
      <c r="H219" s="231">
        <f t="shared" ref="H219:Y219" si="94">+H40</f>
        <v>0</v>
      </c>
      <c r="I219" s="231">
        <f t="shared" si="94"/>
        <v>0</v>
      </c>
      <c r="J219" s="231">
        <f t="shared" si="94"/>
        <v>48436.666666666664</v>
      </c>
      <c r="K219" s="231">
        <f t="shared" si="94"/>
        <v>66220</v>
      </c>
      <c r="L219" s="231">
        <f t="shared" si="94"/>
        <v>83655</v>
      </c>
      <c r="M219" s="231">
        <f t="shared" si="94"/>
        <v>92812.5</v>
      </c>
      <c r="N219" s="231">
        <f t="shared" si="94"/>
        <v>100746.25</v>
      </c>
      <c r="O219" s="231">
        <f t="shared" si="94"/>
        <v>106394.0625</v>
      </c>
      <c r="P219" s="231">
        <f t="shared" si="94"/>
        <v>92743.75</v>
      </c>
      <c r="Q219" s="231">
        <f t="shared" si="94"/>
        <v>91916.458333333343</v>
      </c>
      <c r="R219" s="231">
        <f t="shared" si="94"/>
        <v>87780</v>
      </c>
      <c r="S219" s="231">
        <f t="shared" si="94"/>
        <v>91089.166666666686</v>
      </c>
      <c r="T219" s="231">
        <f t="shared" si="94"/>
        <v>97087.031249999985</v>
      </c>
      <c r="U219" s="231">
        <f t="shared" si="94"/>
        <v>99459.411764705874</v>
      </c>
      <c r="V219" s="231">
        <f t="shared" si="94"/>
        <v>101568.19444444445</v>
      </c>
      <c r="W219" s="231">
        <f t="shared" si="94"/>
        <v>108680.00000000001</v>
      </c>
      <c r="X219" s="231">
        <f t="shared" si="94"/>
        <v>107635</v>
      </c>
      <c r="Y219" s="231">
        <f t="shared" si="94"/>
        <v>107635</v>
      </c>
    </row>
    <row r="220" spans="2:25" x14ac:dyDescent="0.2">
      <c r="B220" s="1"/>
      <c r="G220" s="123">
        <f>SUM(G217:G219)</f>
        <v>360864.625</v>
      </c>
      <c r="H220" s="123">
        <f t="shared" ref="H220:Y220" si="95">SUM(H217:H219)</f>
        <v>160564.25</v>
      </c>
      <c r="I220" s="123">
        <f t="shared" si="95"/>
        <v>55750.75</v>
      </c>
      <c r="J220" s="123">
        <f t="shared" si="95"/>
        <v>92300.541666666657</v>
      </c>
      <c r="K220" s="123">
        <f t="shared" si="95"/>
        <v>98536.625</v>
      </c>
      <c r="L220" s="123">
        <f t="shared" si="95"/>
        <v>115971.625</v>
      </c>
      <c r="M220" s="123">
        <f t="shared" si="95"/>
        <v>125129.125</v>
      </c>
      <c r="N220" s="123">
        <f t="shared" si="95"/>
        <v>133062.875</v>
      </c>
      <c r="O220" s="123">
        <f t="shared" si="95"/>
        <v>138710.6875</v>
      </c>
      <c r="P220" s="123">
        <f t="shared" si="95"/>
        <v>125060.375</v>
      </c>
      <c r="Q220" s="123">
        <f t="shared" si="95"/>
        <v>124233.08333333334</v>
      </c>
      <c r="R220" s="123">
        <f t="shared" si="95"/>
        <v>120096.625</v>
      </c>
      <c r="S220" s="123">
        <f t="shared" si="95"/>
        <v>123405.79166666669</v>
      </c>
      <c r="T220" s="123">
        <f t="shared" si="95"/>
        <v>129403.65624999999</v>
      </c>
      <c r="U220" s="123">
        <f t="shared" si="95"/>
        <v>131776.03676470587</v>
      </c>
      <c r="V220" s="123">
        <f t="shared" si="95"/>
        <v>133884.81944444444</v>
      </c>
      <c r="W220" s="123">
        <f t="shared" si="95"/>
        <v>140996.625</v>
      </c>
      <c r="X220" s="123">
        <f t="shared" si="95"/>
        <v>139951.625</v>
      </c>
      <c r="Y220" s="123">
        <f t="shared" si="95"/>
        <v>139951.625</v>
      </c>
    </row>
    <row r="221" spans="2:25" x14ac:dyDescent="0.2">
      <c r="C221" s="123"/>
      <c r="D221" s="123"/>
      <c r="E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</row>
    <row r="222" spans="2:25" x14ac:dyDescent="0.2">
      <c r="B222" s="129" t="s">
        <v>557</v>
      </c>
      <c r="C222" s="123"/>
      <c r="D222" s="123"/>
      <c r="E222" s="123"/>
      <c r="G222" s="36">
        <f>+G217/('Assumptions &amp; Costs'!$E$76*(1+'Assumptions &amp; Costs'!$C$81))/G$17</f>
        <v>125.57272727272728</v>
      </c>
      <c r="H222" s="36">
        <f>+H217/('Assumptions &amp; Costs'!$E$76*(1+'Assumptions &amp; Costs'!$C$81))/H$17</f>
        <v>55.872727272727282</v>
      </c>
      <c r="I222" s="36">
        <f>+I217/('Assumptions &amp; Costs'!$E$76*(1+'Assumptions &amp; Costs'!$C$81))/I$17</f>
        <v>19.399999999999999</v>
      </c>
      <c r="J222" s="36">
        <f>+J217/('Assumptions &amp; Costs'!$E$76*(1+'Assumptions &amp; Costs'!$C$81))/J$17</f>
        <v>15.263636363636364</v>
      </c>
      <c r="K222" s="36">
        <f>+K217/('Assumptions &amp; Costs'!$E$76*(1+'Assumptions &amp; Costs'!$C$81))/K$17</f>
        <v>0</v>
      </c>
      <c r="L222" s="36">
        <f>+L217/('Assumptions &amp; Costs'!$E$76*(1+'Assumptions &amp; Costs'!$C$81))/L$17</f>
        <v>0</v>
      </c>
      <c r="M222" s="36">
        <f>+M217/('Assumptions &amp; Costs'!$E$76*(1+'Assumptions &amp; Costs'!$C$81))/M$17</f>
        <v>0</v>
      </c>
      <c r="N222" s="36">
        <f>+N217/('Assumptions &amp; Costs'!$E$76*(1+'Assumptions &amp; Costs'!$C$81))/N$17</f>
        <v>0</v>
      </c>
      <c r="O222" s="36">
        <f>+O217/('Assumptions &amp; Costs'!$E$76*(1+'Assumptions &amp; Costs'!$C$81))/O$17</f>
        <v>0</v>
      </c>
      <c r="P222" s="36">
        <f>+P217/('Assumptions &amp; Costs'!$E$76*(1+'Assumptions &amp; Costs'!$C$81))/P$17</f>
        <v>0</v>
      </c>
      <c r="Q222" s="36">
        <f>+Q217/('Assumptions &amp; Costs'!$E$76*(1+'Assumptions &amp; Costs'!$C$81))/Q$17</f>
        <v>0</v>
      </c>
      <c r="R222" s="36">
        <f>+R217/('Assumptions &amp; Costs'!$E$76*(1+'Assumptions &amp; Costs'!$C$81))/R$17</f>
        <v>0</v>
      </c>
      <c r="S222" s="36">
        <f>+S217/('Assumptions &amp; Costs'!$E$76*(1+'Assumptions &amp; Costs'!$C$81))/S$17</f>
        <v>0</v>
      </c>
      <c r="T222" s="36">
        <f>+T217/('Assumptions &amp; Costs'!$E$76*(1+'Assumptions &amp; Costs'!$C$81))/T$17</f>
        <v>0</v>
      </c>
      <c r="U222" s="36">
        <f>+U217/('Assumptions &amp; Costs'!$E$76*(1+'Assumptions &amp; Costs'!$C$81))/U$17</f>
        <v>0</v>
      </c>
      <c r="V222" s="36">
        <f>+V217/('Assumptions &amp; Costs'!$E$76*(1+'Assumptions &amp; Costs'!$C$81))/V$17</f>
        <v>0</v>
      </c>
      <c r="W222" s="36">
        <f>+W217/('Assumptions &amp; Costs'!$E$76*(1+'Assumptions &amp; Costs'!$C$81))/W$17</f>
        <v>0</v>
      </c>
      <c r="X222" s="36">
        <f>+X217/('Assumptions &amp; Costs'!$E$76*(1+'Assumptions &amp; Costs'!$C$81))/X$17</f>
        <v>0</v>
      </c>
      <c r="Y222" s="36">
        <f>+Y217/('Assumptions &amp; Costs'!$E$76*(1+'Assumptions &amp; Costs'!$C$81))/Y$17</f>
        <v>0</v>
      </c>
    </row>
    <row r="223" spans="2:25" x14ac:dyDescent="0.2">
      <c r="B223" s="129" t="s">
        <v>558</v>
      </c>
      <c r="C223" s="123"/>
      <c r="D223" s="123"/>
      <c r="E223" s="123"/>
      <c r="G223" s="36">
        <f>+G218/('Assumptions &amp; Costs'!$E$76*(1+'Assumptions &amp; Costs'!$C$81))/G$17</f>
        <v>0</v>
      </c>
      <c r="H223" s="36">
        <f>+H218/('Assumptions &amp; Costs'!$E$76*(1+'Assumptions &amp; Costs'!$C$81))/H$17</f>
        <v>0</v>
      </c>
      <c r="I223" s="36">
        <f>+I218/('Assumptions &amp; Costs'!$E$76*(1+'Assumptions &amp; Costs'!$C$81))/I$17</f>
        <v>0</v>
      </c>
      <c r="J223" s="36">
        <f>+J218/('Assumptions &amp; Costs'!$E$76*(1+'Assumptions &amp; Costs'!$C$81))/J$17</f>
        <v>0</v>
      </c>
      <c r="K223" s="36">
        <f>+K218/('Assumptions &amp; Costs'!$E$76*(1+'Assumptions &amp; Costs'!$C$81))/K$17</f>
        <v>11.245454545454546</v>
      </c>
      <c r="L223" s="36">
        <f>+L218/('Assumptions &amp; Costs'!$E$76*(1+'Assumptions &amp; Costs'!$C$81))/L$17</f>
        <v>11.245454545454546</v>
      </c>
      <c r="M223" s="36">
        <f>+M218/('Assumptions &amp; Costs'!$E$76*(1+'Assumptions &amp; Costs'!$C$81))/M$17</f>
        <v>11.245454545454546</v>
      </c>
      <c r="N223" s="36">
        <f>+N218/('Assumptions &amp; Costs'!$E$76*(1+'Assumptions &amp; Costs'!$C$81))/N$17</f>
        <v>11.245454545454546</v>
      </c>
      <c r="O223" s="36">
        <f>+O218/('Assumptions &amp; Costs'!$E$76*(1+'Assumptions &amp; Costs'!$C$81))/O$17</f>
        <v>11.245454545454546</v>
      </c>
      <c r="P223" s="36">
        <f>+P218/('Assumptions &amp; Costs'!$E$76*(1+'Assumptions &amp; Costs'!$C$81))/P$17</f>
        <v>11.245454545454546</v>
      </c>
      <c r="Q223" s="36">
        <f>+Q218/('Assumptions &amp; Costs'!$E$76*(1+'Assumptions &amp; Costs'!$C$81))/Q$17</f>
        <v>11.245454545454546</v>
      </c>
      <c r="R223" s="36">
        <f>+R218/('Assumptions &amp; Costs'!$E$76*(1+'Assumptions &amp; Costs'!$C$81))/R$17</f>
        <v>11.245454545454546</v>
      </c>
      <c r="S223" s="36">
        <f>+S218/('Assumptions &amp; Costs'!$E$76*(1+'Assumptions &amp; Costs'!$C$81))/S$17</f>
        <v>11.245454545454546</v>
      </c>
      <c r="T223" s="36">
        <f>+T218/('Assumptions &amp; Costs'!$E$76*(1+'Assumptions &amp; Costs'!$C$81))/T$17</f>
        <v>11.245454545454546</v>
      </c>
      <c r="U223" s="36">
        <f>+U218/('Assumptions &amp; Costs'!$E$76*(1+'Assumptions &amp; Costs'!$C$81))/U$17</f>
        <v>11.245454545454546</v>
      </c>
      <c r="V223" s="36">
        <f>+V218/('Assumptions &amp; Costs'!$E$76*(1+'Assumptions &amp; Costs'!$C$81))/V$17</f>
        <v>11.245454545454546</v>
      </c>
      <c r="W223" s="36">
        <f>+W218/('Assumptions &amp; Costs'!$E$76*(1+'Assumptions &amp; Costs'!$C$81))/W$17</f>
        <v>11.245454545454546</v>
      </c>
      <c r="X223" s="36">
        <f>+X218/('Assumptions &amp; Costs'!$E$76*(1+'Assumptions &amp; Costs'!$C$81))/X$17</f>
        <v>11.245454545454546</v>
      </c>
      <c r="Y223" s="36">
        <f>+Y218/('Assumptions &amp; Costs'!$E$76*(1+'Assumptions &amp; Costs'!$C$81))/Y$17</f>
        <v>11.245454545454546</v>
      </c>
    </row>
    <row r="224" spans="2:25" x14ac:dyDescent="0.2">
      <c r="B224" s="129" t="s">
        <v>559</v>
      </c>
      <c r="C224" s="123"/>
      <c r="D224" s="123"/>
      <c r="E224" s="123"/>
      <c r="G224" s="53">
        <f>+G219/('Assumptions &amp; Costs'!$E$75*(1+'Assumptions &amp; Costs'!$C$81))/G$17</f>
        <v>0</v>
      </c>
      <c r="H224" s="53">
        <f>+H219/('Assumptions &amp; Costs'!$E$75*(1+'Assumptions &amp; Costs'!$C$81))/H$17</f>
        <v>0</v>
      </c>
      <c r="I224" s="53">
        <f>+I219/('Assumptions &amp; Costs'!$E$75*(1+'Assumptions &amp; Costs'!$C$81))/I$17</f>
        <v>0</v>
      </c>
      <c r="J224" s="53">
        <f>+J219/('Assumptions &amp; Costs'!$E$75*(1+'Assumptions &amp; Costs'!$C$81))/J$17</f>
        <v>15.450292397660817</v>
      </c>
      <c r="K224" s="53">
        <f>+K219/('Assumptions &amp; Costs'!$E$75*(1+'Assumptions &amp; Costs'!$C$81))/K$17</f>
        <v>21.122807017543863</v>
      </c>
      <c r="L224" s="53">
        <f>+L219/('Assumptions &amp; Costs'!$E$75*(1+'Assumptions &amp; Costs'!$C$81))/L$17</f>
        <v>26.684210526315791</v>
      </c>
      <c r="M224" s="53">
        <f>+M219/('Assumptions &amp; Costs'!$E$75*(1+'Assumptions &amp; Costs'!$C$81))/M$17</f>
        <v>29.60526315789474</v>
      </c>
      <c r="N224" s="53">
        <f>+N219/('Assumptions &amp; Costs'!$E$75*(1+'Assumptions &amp; Costs'!$C$81))/N$17</f>
        <v>32.135964912280706</v>
      </c>
      <c r="O224" s="53">
        <f>+O219/('Assumptions &amp; Costs'!$E$75*(1+'Assumptions &amp; Costs'!$C$81))/O$17</f>
        <v>33.9375</v>
      </c>
      <c r="P224" s="53">
        <f>+P219/('Assumptions &amp; Costs'!$E$75*(1+'Assumptions &amp; Costs'!$C$81))/P$17</f>
        <v>29.583333333333336</v>
      </c>
      <c r="Q224" s="53">
        <f>+Q219/('Assumptions &amp; Costs'!$E$75*(1+'Assumptions &amp; Costs'!$C$81))/Q$17</f>
        <v>29.31944444444445</v>
      </c>
      <c r="R224" s="53">
        <f>+R219/('Assumptions &amp; Costs'!$E$75*(1+'Assumptions &amp; Costs'!$C$81))/R$17</f>
        <v>28.000000000000004</v>
      </c>
      <c r="S224" s="53">
        <f>+S219/('Assumptions &amp; Costs'!$E$75*(1+'Assumptions &amp; Costs'!$C$81))/S$17</f>
        <v>29.055555555555561</v>
      </c>
      <c r="T224" s="53">
        <f>+T219/('Assumptions &amp; Costs'!$E$75*(1+'Assumptions &amp; Costs'!$C$81))/T$17</f>
        <v>30.968749999999996</v>
      </c>
      <c r="U224" s="53">
        <f>+U219/('Assumptions &amp; Costs'!$E$75*(1+'Assumptions &amp; Costs'!$C$81))/U$17</f>
        <v>31.725490196078429</v>
      </c>
      <c r="V224" s="53">
        <f>+V219/('Assumptions &amp; Costs'!$E$75*(1+'Assumptions &amp; Costs'!$C$81))/V$17</f>
        <v>32.398148148148152</v>
      </c>
      <c r="W224" s="53">
        <f>+W219/('Assumptions &amp; Costs'!$E$75*(1+'Assumptions &amp; Costs'!$C$81))/W$17</f>
        <v>34.666666666666671</v>
      </c>
      <c r="X224" s="53">
        <f>+X219/('Assumptions &amp; Costs'!$E$75*(1+'Assumptions &amp; Costs'!$C$81))/X$17</f>
        <v>34.333333333333336</v>
      </c>
      <c r="Y224" s="53">
        <f>+Y219/('Assumptions &amp; Costs'!$E$75*(1+'Assumptions &amp; Costs'!$C$81))/Y$17</f>
        <v>34.333333333333336</v>
      </c>
    </row>
    <row r="225" spans="2:25" x14ac:dyDescent="0.2">
      <c r="G225" s="61">
        <f>SUM(G222:G224)</f>
        <v>125.57272727272728</v>
      </c>
      <c r="H225" s="61">
        <f t="shared" ref="H225:Y225" si="96">SUM(H222:H224)</f>
        <v>55.872727272727282</v>
      </c>
      <c r="I225" s="61">
        <f t="shared" si="96"/>
        <v>19.399999999999999</v>
      </c>
      <c r="J225" s="61">
        <f t="shared" si="96"/>
        <v>30.713928761297183</v>
      </c>
      <c r="K225" s="61">
        <f t="shared" si="96"/>
        <v>32.368261562998413</v>
      </c>
      <c r="L225" s="61">
        <f t="shared" si="96"/>
        <v>37.929665071770337</v>
      </c>
      <c r="M225" s="61">
        <f t="shared" si="96"/>
        <v>40.850717703349289</v>
      </c>
      <c r="N225" s="61">
        <f t="shared" si="96"/>
        <v>43.381419457735248</v>
      </c>
      <c r="O225" s="61">
        <f t="shared" si="96"/>
        <v>45.18295454545455</v>
      </c>
      <c r="P225" s="61">
        <f t="shared" si="96"/>
        <v>40.828787878787878</v>
      </c>
      <c r="Q225" s="61">
        <f t="shared" si="96"/>
        <v>40.564898989898992</v>
      </c>
      <c r="R225" s="61">
        <f t="shared" si="96"/>
        <v>39.24545454545455</v>
      </c>
      <c r="S225" s="61">
        <f t="shared" si="96"/>
        <v>40.301010101010107</v>
      </c>
      <c r="T225" s="61">
        <f t="shared" si="96"/>
        <v>42.214204545454542</v>
      </c>
      <c r="U225" s="61">
        <f t="shared" si="96"/>
        <v>42.970944741532975</v>
      </c>
      <c r="V225" s="61">
        <f t="shared" si="96"/>
        <v>43.643602693602702</v>
      </c>
      <c r="W225" s="61">
        <f t="shared" si="96"/>
        <v>45.912121212121221</v>
      </c>
      <c r="X225" s="61">
        <f t="shared" si="96"/>
        <v>45.578787878787878</v>
      </c>
      <c r="Y225" s="61">
        <f t="shared" si="96"/>
        <v>45.578787878787878</v>
      </c>
    </row>
    <row r="226" spans="2:25" x14ac:dyDescent="0.2">
      <c r="E226" s="129" t="s">
        <v>561</v>
      </c>
    </row>
    <row r="227" spans="2:25" x14ac:dyDescent="0.2">
      <c r="B227" s="129" t="s">
        <v>560</v>
      </c>
      <c r="E227" s="129">
        <f>5.5*46</f>
        <v>253</v>
      </c>
      <c r="F227" s="123"/>
      <c r="G227" s="123">
        <f t="shared" ref="G227:Y227" si="97">+G222*G$17/$E$227</f>
        <v>248.16744520301833</v>
      </c>
      <c r="H227" s="123">
        <f t="shared" si="97"/>
        <v>110.42040962989581</v>
      </c>
      <c r="I227" s="123">
        <f t="shared" si="97"/>
        <v>38.339920948616601</v>
      </c>
      <c r="J227" s="123">
        <f t="shared" si="97"/>
        <v>30.165289256198349</v>
      </c>
      <c r="K227" s="123">
        <f t="shared" si="97"/>
        <v>0</v>
      </c>
      <c r="L227" s="123">
        <f t="shared" si="97"/>
        <v>0</v>
      </c>
      <c r="M227" s="123">
        <f t="shared" si="97"/>
        <v>0</v>
      </c>
      <c r="N227" s="123">
        <f t="shared" si="97"/>
        <v>0</v>
      </c>
      <c r="O227" s="123">
        <f t="shared" si="97"/>
        <v>0</v>
      </c>
      <c r="P227" s="123">
        <f t="shared" si="97"/>
        <v>0</v>
      </c>
      <c r="Q227" s="123">
        <f t="shared" si="97"/>
        <v>0</v>
      </c>
      <c r="R227" s="123">
        <f t="shared" si="97"/>
        <v>0</v>
      </c>
      <c r="S227" s="123">
        <f t="shared" si="97"/>
        <v>0</v>
      </c>
      <c r="T227" s="123">
        <f t="shared" si="97"/>
        <v>0</v>
      </c>
      <c r="U227" s="123">
        <f t="shared" si="97"/>
        <v>0</v>
      </c>
      <c r="V227" s="123">
        <f t="shared" si="97"/>
        <v>0</v>
      </c>
      <c r="W227" s="123">
        <f t="shared" si="97"/>
        <v>0</v>
      </c>
      <c r="X227" s="123">
        <f t="shared" si="97"/>
        <v>0</v>
      </c>
      <c r="Y227" s="123">
        <f t="shared" si="97"/>
        <v>0</v>
      </c>
    </row>
    <row r="228" spans="2:25" x14ac:dyDescent="0.2">
      <c r="B228" s="129" t="s">
        <v>197</v>
      </c>
      <c r="F228" s="123"/>
      <c r="G228" s="123">
        <f t="shared" ref="G228:Y228" si="98">+G223*G$17/$E$227</f>
        <v>0</v>
      </c>
      <c r="H228" s="123">
        <f t="shared" si="98"/>
        <v>0</v>
      </c>
      <c r="I228" s="123">
        <f t="shared" si="98"/>
        <v>0</v>
      </c>
      <c r="J228" s="123">
        <f t="shared" si="98"/>
        <v>0</v>
      </c>
      <c r="K228" s="123">
        <f t="shared" si="98"/>
        <v>22.224218469277758</v>
      </c>
      <c r="L228" s="123">
        <f t="shared" si="98"/>
        <v>22.224218469277758</v>
      </c>
      <c r="M228" s="123">
        <f t="shared" si="98"/>
        <v>22.224218469277758</v>
      </c>
      <c r="N228" s="123">
        <f t="shared" si="98"/>
        <v>22.224218469277758</v>
      </c>
      <c r="O228" s="123">
        <f t="shared" si="98"/>
        <v>22.224218469277758</v>
      </c>
      <c r="P228" s="123">
        <f t="shared" si="98"/>
        <v>22.224218469277758</v>
      </c>
      <c r="Q228" s="123">
        <f t="shared" si="98"/>
        <v>22.224218469277758</v>
      </c>
      <c r="R228" s="123">
        <f t="shared" si="98"/>
        <v>22.224218469277758</v>
      </c>
      <c r="S228" s="123">
        <f t="shared" si="98"/>
        <v>22.224218469277758</v>
      </c>
      <c r="T228" s="123">
        <f t="shared" si="98"/>
        <v>22.224218469277758</v>
      </c>
      <c r="U228" s="123">
        <f t="shared" si="98"/>
        <v>22.224218469277758</v>
      </c>
      <c r="V228" s="123">
        <f t="shared" si="98"/>
        <v>22.224218469277758</v>
      </c>
      <c r="W228" s="123">
        <f t="shared" si="98"/>
        <v>22.224218469277758</v>
      </c>
      <c r="X228" s="123">
        <f t="shared" si="98"/>
        <v>22.224218469277758</v>
      </c>
      <c r="Y228" s="123">
        <f t="shared" si="98"/>
        <v>22.224218469277758</v>
      </c>
    </row>
    <row r="229" spans="2:25" x14ac:dyDescent="0.2">
      <c r="B229" s="129" t="s">
        <v>198</v>
      </c>
      <c r="F229" s="123"/>
      <c r="G229" s="231">
        <f t="shared" ref="G229:Y229" si="99">+G224*G$17/$E$227</f>
        <v>0</v>
      </c>
      <c r="H229" s="231">
        <f t="shared" si="99"/>
        <v>0</v>
      </c>
      <c r="I229" s="231">
        <f t="shared" si="99"/>
        <v>0</v>
      </c>
      <c r="J229" s="231">
        <f t="shared" si="99"/>
        <v>30.534174698934422</v>
      </c>
      <c r="K229" s="231">
        <f t="shared" si="99"/>
        <v>41.744677900284316</v>
      </c>
      <c r="L229" s="231">
        <f t="shared" si="99"/>
        <v>52.735593925525279</v>
      </c>
      <c r="M229" s="231">
        <f t="shared" si="99"/>
        <v>58.508425213230709</v>
      </c>
      <c r="N229" s="231">
        <f t="shared" si="99"/>
        <v>63.509812079606135</v>
      </c>
      <c r="O229" s="231">
        <f t="shared" si="99"/>
        <v>67.070158102766797</v>
      </c>
      <c r="P229" s="231">
        <f t="shared" si="99"/>
        <v>58.465085638998687</v>
      </c>
      <c r="Q229" s="231">
        <f t="shared" si="99"/>
        <v>57.943566095740017</v>
      </c>
      <c r="R229" s="231">
        <f t="shared" si="99"/>
        <v>55.335968379446648</v>
      </c>
      <c r="S229" s="231">
        <f t="shared" si="99"/>
        <v>57.422046552481348</v>
      </c>
      <c r="T229" s="231">
        <f t="shared" si="99"/>
        <v>61.203063241106712</v>
      </c>
      <c r="U229" s="231">
        <f t="shared" si="99"/>
        <v>62.698597225451444</v>
      </c>
      <c r="V229" s="231">
        <f t="shared" si="99"/>
        <v>64.027960767091216</v>
      </c>
      <c r="W229" s="231">
        <f t="shared" si="99"/>
        <v>68.511198945981562</v>
      </c>
      <c r="X229" s="231">
        <f t="shared" si="99"/>
        <v>67.852437417654812</v>
      </c>
      <c r="Y229" s="231">
        <f t="shared" si="99"/>
        <v>67.852437417654812</v>
      </c>
    </row>
    <row r="230" spans="2:25" x14ac:dyDescent="0.2">
      <c r="F230" s="123"/>
      <c r="G230" s="123">
        <f>SUM(G227:G229)</f>
        <v>248.16744520301833</v>
      </c>
      <c r="H230" s="123">
        <f t="shared" ref="H230:Y230" si="100">SUM(H227:H229)</f>
        <v>110.42040962989581</v>
      </c>
      <c r="I230" s="123">
        <f t="shared" si="100"/>
        <v>38.339920948616601</v>
      </c>
      <c r="J230" s="123">
        <f t="shared" si="100"/>
        <v>60.699463955132771</v>
      </c>
      <c r="K230" s="123">
        <f t="shared" si="100"/>
        <v>63.968896369562074</v>
      </c>
      <c r="L230" s="123">
        <f t="shared" si="100"/>
        <v>74.959812394803038</v>
      </c>
      <c r="M230" s="123">
        <f t="shared" si="100"/>
        <v>80.732643682508467</v>
      </c>
      <c r="N230" s="123">
        <f t="shared" si="100"/>
        <v>85.734030548883894</v>
      </c>
      <c r="O230" s="123">
        <f t="shared" si="100"/>
        <v>89.294376572044555</v>
      </c>
      <c r="P230" s="123">
        <f t="shared" si="100"/>
        <v>80.689304108276446</v>
      </c>
      <c r="Q230" s="123">
        <f t="shared" si="100"/>
        <v>80.167784565017769</v>
      </c>
      <c r="R230" s="123">
        <f t="shared" si="100"/>
        <v>77.560186848724413</v>
      </c>
      <c r="S230" s="123">
        <f t="shared" si="100"/>
        <v>79.646265021759106</v>
      </c>
      <c r="T230" s="123">
        <f t="shared" si="100"/>
        <v>83.427281710384477</v>
      </c>
      <c r="U230" s="123">
        <f t="shared" si="100"/>
        <v>84.922815694729195</v>
      </c>
      <c r="V230" s="123">
        <f t="shared" si="100"/>
        <v>86.252179236368974</v>
      </c>
      <c r="W230" s="123">
        <f t="shared" si="100"/>
        <v>90.73541741525932</v>
      </c>
      <c r="X230" s="123">
        <f t="shared" si="100"/>
        <v>90.076655886932571</v>
      </c>
      <c r="Y230" s="123">
        <f t="shared" si="100"/>
        <v>90.076655886932571</v>
      </c>
    </row>
    <row r="231" spans="2:25" x14ac:dyDescent="0.2"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</row>
    <row r="232" spans="2:25" x14ac:dyDescent="0.2"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</row>
    <row r="233" spans="2:25" x14ac:dyDescent="0.2"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</row>
    <row r="234" spans="2:25" x14ac:dyDescent="0.2"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</row>
    <row r="235" spans="2:25" x14ac:dyDescent="0.2"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</row>
    <row r="236" spans="2:25" x14ac:dyDescent="0.2"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</row>
    <row r="239" spans="2:25" x14ac:dyDescent="0.2"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</row>
    <row r="240" spans="2:25" x14ac:dyDescent="0.2"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</row>
    <row r="241" spans="6:25" x14ac:dyDescent="0.2"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</row>
    <row r="242" spans="6:25" x14ac:dyDescent="0.2"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</row>
    <row r="244" spans="6:25" x14ac:dyDescent="0.2"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W106"/>
  <sheetViews>
    <sheetView showGridLines="0" topLeftCell="B1" zoomScaleNormal="100" workbookViewId="0">
      <pane xSplit="1" ySplit="4" topLeftCell="C5" activePane="bottomRight" state="frozen"/>
      <selection activeCell="D34" sqref="D34"/>
      <selection pane="topRight" activeCell="D34" sqref="D34"/>
      <selection pane="bottomLeft" activeCell="D34" sqref="D34"/>
      <selection pane="bottomRight" activeCell="D26" sqref="D26"/>
    </sheetView>
  </sheetViews>
  <sheetFormatPr defaultRowHeight="12.75" x14ac:dyDescent="0.2"/>
  <cols>
    <col min="1" max="1" width="9.140625" style="129"/>
    <col min="2" max="2" width="38.85546875" style="129" customWidth="1"/>
    <col min="3" max="51" width="15.7109375" style="129" customWidth="1"/>
    <col min="52" max="16384" width="9.140625" style="129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1" t="s">
        <v>360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129" t="s">
        <v>508</v>
      </c>
    </row>
    <row r="7" spans="2:23" x14ac:dyDescent="0.2">
      <c r="B7" s="129" t="s">
        <v>133</v>
      </c>
      <c r="C7" s="66" t="s">
        <v>397</v>
      </c>
    </row>
    <row r="8" spans="2:23" x14ac:dyDescent="0.2">
      <c r="B8" s="129" t="s">
        <v>134</v>
      </c>
      <c r="C8" s="36">
        <v>0</v>
      </c>
    </row>
    <row r="9" spans="2:23" x14ac:dyDescent="0.2">
      <c r="B9" s="129" t="s">
        <v>155</v>
      </c>
      <c r="C9" s="36"/>
    </row>
    <row r="10" spans="2:23" x14ac:dyDescent="0.2">
      <c r="B10" s="129" t="s">
        <v>518</v>
      </c>
      <c r="C10" s="7">
        <f>+'Inputs General'!E30</f>
        <v>0.3</v>
      </c>
      <c r="D10" s="129" t="s">
        <v>509</v>
      </c>
    </row>
    <row r="11" spans="2:23" x14ac:dyDescent="0.2">
      <c r="B11" s="129" t="s">
        <v>135</v>
      </c>
      <c r="C11" s="7">
        <v>0</v>
      </c>
    </row>
    <row r="12" spans="2:23" x14ac:dyDescent="0.2">
      <c r="B12" s="105" t="s">
        <v>156</v>
      </c>
      <c r="D12" s="123">
        <v>0</v>
      </c>
      <c r="E12" s="36">
        <f>D20</f>
        <v>0</v>
      </c>
      <c r="F12" s="36">
        <f t="shared" ref="F12:W12" si="1">E20+E19</f>
        <v>17735.239062500001</v>
      </c>
      <c r="G12" s="36">
        <f t="shared" si="1"/>
        <v>22483.9296875</v>
      </c>
      <c r="H12" s="36">
        <f t="shared" si="1"/>
        <v>25986.6796875</v>
      </c>
      <c r="I12" s="36">
        <f t="shared" si="1"/>
        <v>-36157.84375</v>
      </c>
      <c r="J12" s="36">
        <f t="shared" si="1"/>
        <v>-162718.91875000001</v>
      </c>
      <c r="K12" s="36">
        <f t="shared" si="1"/>
        <v>-354406.70937499998</v>
      </c>
      <c r="L12" s="36">
        <f t="shared" si="1"/>
        <v>-594982.64375000005</v>
      </c>
      <c r="M12" s="36">
        <f t="shared" si="1"/>
        <v>-867832.64375000005</v>
      </c>
      <c r="N12" s="36">
        <f t="shared" si="1"/>
        <v>-1172782.64375</v>
      </c>
      <c r="O12" s="36">
        <f t="shared" si="1"/>
        <v>-1477732.64375</v>
      </c>
      <c r="P12" s="36">
        <f t="shared" si="1"/>
        <v>-1782682.64375</v>
      </c>
      <c r="Q12" s="36">
        <f t="shared" si="1"/>
        <v>-2087632.64375</v>
      </c>
      <c r="R12" s="36">
        <f t="shared" si="1"/>
        <v>-2392582.6437499998</v>
      </c>
      <c r="S12" s="123">
        <f t="shared" si="1"/>
        <v>-2697532.6437499998</v>
      </c>
      <c r="T12" s="123">
        <f t="shared" si="1"/>
        <v>0</v>
      </c>
      <c r="U12" s="123">
        <f t="shared" si="1"/>
        <v>0</v>
      </c>
      <c r="V12" s="123">
        <f t="shared" si="1"/>
        <v>0</v>
      </c>
      <c r="W12" s="123">
        <f t="shared" si="1"/>
        <v>0</v>
      </c>
    </row>
    <row r="13" spans="2:23" x14ac:dyDescent="0.2">
      <c r="B13" s="105" t="s">
        <v>157</v>
      </c>
      <c r="D13" s="123">
        <v>0</v>
      </c>
      <c r="E13" s="36">
        <f>+'Inputs General'!E27*5/SUM('Inputs Field'!$D17:$O17)</f>
        <v>17735.239062500001</v>
      </c>
      <c r="F13" s="36">
        <f>+'Inputs General'!F27*5/SUM('Inputs Field'!$D17:$O17)</f>
        <v>4748.6906250000002</v>
      </c>
      <c r="G13" s="36">
        <f>+'Inputs General'!G27*5/SUM('Inputs Field'!$D17:$O17)</f>
        <v>3502.75</v>
      </c>
      <c r="H13" s="36">
        <f>+'Inputs General'!H27*5/SUM('Inputs Field'!$D17:$O17)</f>
        <v>2055.4765625</v>
      </c>
      <c r="I13" s="36">
        <f>+'Inputs General'!I27*5/SUM('Inputs Field'!$D17:$O17)</f>
        <v>1838.925</v>
      </c>
      <c r="J13" s="36">
        <f>+'Inputs General'!J27*5/SUM('Inputs Field'!$D17:$O17)</f>
        <v>912.20937500000002</v>
      </c>
      <c r="K13" s="36">
        <f>+'Inputs General'!K27*5/SUM('Inputs Field'!$D17:$O17)</f>
        <v>174.06562500000001</v>
      </c>
      <c r="L13" s="36">
        <f>+'Inputs General'!L27*5/SUM('Inputs Field'!$D17:$O17)</f>
        <v>0</v>
      </c>
      <c r="M13" s="36">
        <f>+'Inputs General'!M27*5/SUM('Inputs Field'!$D17:$O17)</f>
        <v>0</v>
      </c>
      <c r="N13" s="36">
        <f>+'Inputs General'!N27*5/SUM('Inputs Field'!$D17:$O17)</f>
        <v>0</v>
      </c>
      <c r="O13" s="36">
        <f>+'Inputs General'!O27*5/SUM('Inputs Field'!$D17:$O17)</f>
        <v>0</v>
      </c>
      <c r="P13" s="36">
        <f>+'Inputs General'!P27*5/SUM('Inputs Field'!$D17:$O17)</f>
        <v>0</v>
      </c>
      <c r="Q13" s="36">
        <f>+'Inputs General'!Q27*5/SUM('Inputs Field'!$D17:$O17)</f>
        <v>0</v>
      </c>
      <c r="R13" s="36">
        <f>+'Inputs General'!R27*5/SUM('Inputs Field'!$D17:$O17)</f>
        <v>0</v>
      </c>
      <c r="S13" s="36">
        <f>+'Inputs General'!S27*5/SUM('Inputs Field'!$D17:$O17)</f>
        <v>0</v>
      </c>
      <c r="T13" s="36">
        <f>+'Inputs General'!T27*5/SUM('Inputs Field'!$D17:$O17)</f>
        <v>0</v>
      </c>
      <c r="U13" s="36">
        <f>+'Inputs General'!U27*5/SUM('Inputs Field'!$D17:$O17)</f>
        <v>0</v>
      </c>
      <c r="V13" s="36">
        <f>+'Inputs General'!V27*5/SUM('Inputs Field'!$D17:$O17)</f>
        <v>0</v>
      </c>
      <c r="W13" s="36">
        <f>+'Inputs General'!W27*5/SUM('Inputs Field'!$D17:$O17)</f>
        <v>0</v>
      </c>
    </row>
    <row r="14" spans="2:23" x14ac:dyDescent="0.2">
      <c r="B14" s="105" t="s">
        <v>552</v>
      </c>
      <c r="D14" s="123">
        <v>0</v>
      </c>
      <c r="E14" s="123">
        <v>0</v>
      </c>
      <c r="F14" s="123">
        <v>0</v>
      </c>
      <c r="G14" s="123">
        <v>0</v>
      </c>
      <c r="H14" s="123">
        <f>-'Total Revenue &amp; Costs (500Ha)'!H14*$C10</f>
        <v>-64200</v>
      </c>
      <c r="I14" s="123">
        <f>-'Total Revenue &amp; Costs (500Ha)'!I14*$C10</f>
        <v>-128400</v>
      </c>
      <c r="J14" s="123">
        <f>-'Total Revenue &amp; Costs (500Ha)'!J14*$C10</f>
        <v>-192600</v>
      </c>
      <c r="K14" s="123">
        <f>-'Total Revenue &amp; Costs (500Ha)'!K14*$C10</f>
        <v>-240750</v>
      </c>
      <c r="L14" s="123">
        <f>-'Total Revenue &amp; Costs (500Ha)'!L14*$C10</f>
        <v>-272850</v>
      </c>
      <c r="M14" s="123">
        <f>-'Total Revenue &amp; Costs (500Ha)'!M14*$C10</f>
        <v>-304950</v>
      </c>
      <c r="N14" s="123">
        <f>-'Total Revenue &amp; Costs (500Ha)'!N14*$C10</f>
        <v>-304950</v>
      </c>
      <c r="O14" s="123">
        <f>-'Total Revenue &amp; Costs (500Ha)'!O14*$C10</f>
        <v>-304950</v>
      </c>
      <c r="P14" s="123">
        <f>-'Total Revenue &amp; Costs (500Ha)'!P14*$C10</f>
        <v>-304950</v>
      </c>
      <c r="Q14" s="123">
        <f>-'Total Revenue &amp; Costs (500Ha)'!Q14*$C10</f>
        <v>-304950</v>
      </c>
      <c r="R14" s="123">
        <f>-'Total Revenue &amp; Costs (500Ha)'!R14*$C10</f>
        <v>-304950</v>
      </c>
      <c r="S14" s="123">
        <f>IF(-SUM(H14:R14)+('Total Revenue &amp; Costs (500Ha)'!S14*$C10)&gt;SUM(E13:R13),-S12,-'Total Revenue &amp; Costs (500Ha)'!S14*$C10)</f>
        <v>2697532.6437499998</v>
      </c>
      <c r="T14" s="123">
        <f>IF(S14=0,0,IF(-SUM(I14:S14)+('Total Revenue &amp; Costs (500Ha)'!T14*$C10)&gt;SUM(F13:S13),-T12,-'Total Revenue &amp; Costs (500Ha)'!T14*$C10))</f>
        <v>0</v>
      </c>
      <c r="U14" s="123">
        <f>IF(T14=0,0,IF(-SUM(J14:T14)+('Total Revenue &amp; Costs (500Ha)'!U14*$C10)&gt;SUM(G13:T13),-U12,-'Total Revenue &amp; Costs (500Ha)'!U14*$C10))</f>
        <v>0</v>
      </c>
      <c r="V14" s="123">
        <f>IF(U14=0,0,IF(-SUM(K14:U14)+('Total Revenue &amp; Costs (500Ha)'!V14*$C10)&gt;SUM(H13:U13),-V12,-'Total Revenue &amp; Costs (500Ha)'!V14*$C10))</f>
        <v>0</v>
      </c>
      <c r="W14" s="123">
        <f>IF(V14=0,0,IF(-SUM(L14:V14)+('Total Revenue &amp; Costs (500Ha)'!W14*$C10)&gt;SUM(I13:V13),-W12,-'Total Revenue &amp; Costs (500Ha)'!W14*$C10))</f>
        <v>0</v>
      </c>
    </row>
    <row r="16" spans="2:23" x14ac:dyDescent="0.2">
      <c r="B16" s="40" t="s">
        <v>160</v>
      </c>
      <c r="D16" s="43">
        <f>+C11</f>
        <v>0</v>
      </c>
      <c r="E16" s="43">
        <f>+C11</f>
        <v>0</v>
      </c>
      <c r="F16" s="43">
        <f t="shared" ref="F16:T16" si="2">E16</f>
        <v>0</v>
      </c>
      <c r="G16" s="43">
        <f t="shared" si="2"/>
        <v>0</v>
      </c>
      <c r="H16" s="43">
        <f t="shared" si="2"/>
        <v>0</v>
      </c>
      <c r="I16" s="43">
        <f t="shared" si="2"/>
        <v>0</v>
      </c>
      <c r="J16" s="43">
        <f t="shared" si="2"/>
        <v>0</v>
      </c>
      <c r="K16" s="43">
        <f t="shared" si="2"/>
        <v>0</v>
      </c>
      <c r="L16" s="43">
        <f t="shared" si="2"/>
        <v>0</v>
      </c>
      <c r="M16" s="43">
        <f t="shared" si="2"/>
        <v>0</v>
      </c>
      <c r="N16" s="43">
        <f t="shared" si="2"/>
        <v>0</v>
      </c>
      <c r="O16" s="43">
        <f t="shared" si="2"/>
        <v>0</v>
      </c>
      <c r="P16" s="43">
        <f t="shared" si="2"/>
        <v>0</v>
      </c>
      <c r="Q16" s="43">
        <f t="shared" si="2"/>
        <v>0</v>
      </c>
      <c r="R16" s="43">
        <f t="shared" si="2"/>
        <v>0</v>
      </c>
      <c r="S16" s="43">
        <f t="shared" si="2"/>
        <v>0</v>
      </c>
      <c r="T16" s="43">
        <f t="shared" si="2"/>
        <v>0</v>
      </c>
      <c r="U16" s="43">
        <f t="shared" ref="U16" si="3">T16</f>
        <v>0</v>
      </c>
      <c r="V16" s="43">
        <f t="shared" ref="V16" si="4">U16</f>
        <v>0</v>
      </c>
      <c r="W16" s="43">
        <f t="shared" ref="W16" si="5">V16</f>
        <v>0</v>
      </c>
    </row>
    <row r="17" spans="2:23" x14ac:dyDescent="0.2">
      <c r="B17" s="105" t="s">
        <v>161</v>
      </c>
      <c r="D17" s="123">
        <f>IF(D20&gt;0,(D20*D16),0)/2</f>
        <v>0</v>
      </c>
      <c r="E17" s="123">
        <f t="shared" ref="E17:W17" si="6">IF(E12&gt;0,(E12*E16),0)</f>
        <v>0</v>
      </c>
      <c r="F17" s="123">
        <f t="shared" si="6"/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 t="shared" si="6"/>
        <v>0</v>
      </c>
      <c r="K17" s="123">
        <f t="shared" si="6"/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 t="shared" si="6"/>
        <v>0</v>
      </c>
      <c r="P17" s="123">
        <f t="shared" si="6"/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  <c r="T17" s="123">
        <f t="shared" si="6"/>
        <v>0</v>
      </c>
      <c r="U17" s="123">
        <f t="shared" si="6"/>
        <v>0</v>
      </c>
      <c r="V17" s="123">
        <f t="shared" si="6"/>
        <v>0</v>
      </c>
      <c r="W17" s="123">
        <f t="shared" si="6"/>
        <v>0</v>
      </c>
    </row>
    <row r="18" spans="2:23" x14ac:dyDescent="0.2">
      <c r="B18" s="105" t="s">
        <v>162</v>
      </c>
      <c r="D18" s="123">
        <f>+D17</f>
        <v>0</v>
      </c>
      <c r="E18" s="123">
        <f t="shared" ref="E18:T18" si="7">+E17</f>
        <v>0</v>
      </c>
      <c r="F18" s="123">
        <f t="shared" si="7"/>
        <v>0</v>
      </c>
      <c r="G18" s="123">
        <f t="shared" si="7"/>
        <v>0</v>
      </c>
      <c r="H18" s="123">
        <f t="shared" si="7"/>
        <v>0</v>
      </c>
      <c r="I18" s="123">
        <f t="shared" si="7"/>
        <v>0</v>
      </c>
      <c r="J18" s="123">
        <f t="shared" si="7"/>
        <v>0</v>
      </c>
      <c r="K18" s="123">
        <f t="shared" si="7"/>
        <v>0</v>
      </c>
      <c r="L18" s="123">
        <f t="shared" si="7"/>
        <v>0</v>
      </c>
      <c r="M18" s="123">
        <f t="shared" si="7"/>
        <v>0</v>
      </c>
      <c r="N18" s="123">
        <f t="shared" si="7"/>
        <v>0</v>
      </c>
      <c r="O18" s="123">
        <f t="shared" si="7"/>
        <v>0</v>
      </c>
      <c r="P18" s="123">
        <f t="shared" si="7"/>
        <v>0</v>
      </c>
      <c r="Q18" s="123">
        <f t="shared" si="7"/>
        <v>0</v>
      </c>
      <c r="R18" s="123">
        <f t="shared" si="7"/>
        <v>0</v>
      </c>
      <c r="S18" s="123">
        <f t="shared" si="7"/>
        <v>0</v>
      </c>
      <c r="T18" s="123">
        <f t="shared" si="7"/>
        <v>0</v>
      </c>
      <c r="U18" s="123">
        <f t="shared" ref="U18:W18" si="8">+U17</f>
        <v>0</v>
      </c>
      <c r="V18" s="123">
        <f t="shared" si="8"/>
        <v>0</v>
      </c>
      <c r="W18" s="123">
        <f t="shared" si="8"/>
        <v>0</v>
      </c>
    </row>
    <row r="19" spans="2:23" x14ac:dyDescent="0.2">
      <c r="B19" s="129" t="s">
        <v>163</v>
      </c>
      <c r="D19" s="123">
        <f>D17-D18</f>
        <v>0</v>
      </c>
      <c r="E19" s="123">
        <f t="shared" ref="E19:T19" si="9">E17-E18</f>
        <v>0</v>
      </c>
      <c r="F19" s="123">
        <f t="shared" si="9"/>
        <v>0</v>
      </c>
      <c r="G19" s="123">
        <f t="shared" si="9"/>
        <v>0</v>
      </c>
      <c r="H19" s="123">
        <f t="shared" si="9"/>
        <v>0</v>
      </c>
      <c r="I19" s="123">
        <f t="shared" si="9"/>
        <v>0</v>
      </c>
      <c r="J19" s="123">
        <f t="shared" si="9"/>
        <v>0</v>
      </c>
      <c r="K19" s="123">
        <f t="shared" si="9"/>
        <v>0</v>
      </c>
      <c r="L19" s="123">
        <f t="shared" si="9"/>
        <v>0</v>
      </c>
      <c r="M19" s="123">
        <f t="shared" si="9"/>
        <v>0</v>
      </c>
      <c r="N19" s="123">
        <f t="shared" si="9"/>
        <v>0</v>
      </c>
      <c r="O19" s="123">
        <f t="shared" si="9"/>
        <v>0</v>
      </c>
      <c r="P19" s="123">
        <f t="shared" si="9"/>
        <v>0</v>
      </c>
      <c r="Q19" s="123">
        <f t="shared" si="9"/>
        <v>0</v>
      </c>
      <c r="R19" s="123">
        <f t="shared" si="9"/>
        <v>0</v>
      </c>
      <c r="S19" s="123">
        <f t="shared" si="9"/>
        <v>0</v>
      </c>
      <c r="T19" s="123">
        <f t="shared" si="9"/>
        <v>0</v>
      </c>
      <c r="U19" s="123">
        <f t="shared" ref="U19:W19" si="10">U17-U18</f>
        <v>0</v>
      </c>
      <c r="V19" s="123">
        <f t="shared" si="10"/>
        <v>0</v>
      </c>
      <c r="W19" s="123">
        <f t="shared" si="10"/>
        <v>0</v>
      </c>
    </row>
    <row r="20" spans="2:23" x14ac:dyDescent="0.2">
      <c r="B20" s="37" t="s">
        <v>159</v>
      </c>
      <c r="D20" s="123">
        <f t="shared" ref="D20:W20" si="11">SUM(D12:D14)</f>
        <v>0</v>
      </c>
      <c r="E20" s="123">
        <f t="shared" si="11"/>
        <v>17735.239062500001</v>
      </c>
      <c r="F20" s="123">
        <f t="shared" si="11"/>
        <v>22483.9296875</v>
      </c>
      <c r="G20" s="123">
        <f t="shared" si="11"/>
        <v>25986.6796875</v>
      </c>
      <c r="H20" s="123">
        <f t="shared" si="11"/>
        <v>-36157.84375</v>
      </c>
      <c r="I20" s="123">
        <f t="shared" si="11"/>
        <v>-162718.91875000001</v>
      </c>
      <c r="J20" s="123">
        <f t="shared" si="11"/>
        <v>-354406.70937499998</v>
      </c>
      <c r="K20" s="123">
        <f t="shared" si="11"/>
        <v>-594982.64375000005</v>
      </c>
      <c r="L20" s="123">
        <f t="shared" si="11"/>
        <v>-867832.64375000005</v>
      </c>
      <c r="M20" s="123">
        <f t="shared" si="11"/>
        <v>-1172782.64375</v>
      </c>
      <c r="N20" s="123">
        <f t="shared" si="11"/>
        <v>-1477732.64375</v>
      </c>
      <c r="O20" s="123">
        <f t="shared" si="11"/>
        <v>-1782682.64375</v>
      </c>
      <c r="P20" s="123">
        <f t="shared" si="11"/>
        <v>-2087632.64375</v>
      </c>
      <c r="Q20" s="123">
        <f t="shared" si="11"/>
        <v>-2392582.6437499998</v>
      </c>
      <c r="R20" s="123">
        <f t="shared" si="11"/>
        <v>-2697532.6437499998</v>
      </c>
      <c r="S20" s="123">
        <f t="shared" si="11"/>
        <v>0</v>
      </c>
      <c r="T20" s="123">
        <f t="shared" si="11"/>
        <v>0</v>
      </c>
      <c r="U20" s="123">
        <f t="shared" si="11"/>
        <v>0</v>
      </c>
      <c r="V20" s="123">
        <f t="shared" si="11"/>
        <v>0</v>
      </c>
      <c r="W20" s="123">
        <f t="shared" si="11"/>
        <v>0</v>
      </c>
    </row>
    <row r="22" spans="2:23" x14ac:dyDescent="0.2">
      <c r="B22" s="129" t="s">
        <v>382</v>
      </c>
      <c r="D22" s="123">
        <f>+'Total Revenue &amp; Costs (500Ha)'!D28+D14</f>
        <v>0</v>
      </c>
      <c r="E22" s="123">
        <f>+'Total Revenue &amp; Costs (500Ha)'!E28+E14</f>
        <v>-1773523.8821717282</v>
      </c>
      <c r="F22" s="123">
        <f>+'Total Revenue &amp; Costs (500Ha)'!F28+F14</f>
        <v>-474869.03930695902</v>
      </c>
      <c r="G22" s="123">
        <f>+'Total Revenue &amp; Costs (500Ha)'!G28+G14</f>
        <v>-350275.10263677873</v>
      </c>
      <c r="H22" s="123">
        <f>+'Total Revenue &amp; Costs (500Ha)'!H28+H14</f>
        <v>-173243.25664022431</v>
      </c>
      <c r="I22" s="123">
        <f>+'Total Revenue &amp; Costs (500Ha)'!I28+I14</f>
        <v>-139938.58985336532</v>
      </c>
      <c r="J22" s="123">
        <f>+'Total Revenue &amp; Costs (500Ha)'!J28+J14</f>
        <v>-42073.589853365324</v>
      </c>
      <c r="K22" s="123">
        <f>+'Total Revenue &amp; Costs (500Ha)'!K28+K14</f>
        <v>35243.910146634676</v>
      </c>
      <c r="L22" s="123">
        <f>+'Total Revenue &amp; Costs (500Ha)'!L28+L14</f>
        <v>84960.160146634676</v>
      </c>
      <c r="M22" s="123">
        <f>+'Total Revenue &amp; Costs (500Ha)'!M28+M14</f>
        <v>136962.34764663468</v>
      </c>
      <c r="N22" s="123">
        <f>+'Total Revenue &amp; Costs (500Ha)'!N28+N14</f>
        <v>150612.66014663468</v>
      </c>
      <c r="O22" s="123">
        <f>+'Total Revenue &amp; Costs (500Ha)'!O28+O14</f>
        <v>151439.9518133013</v>
      </c>
      <c r="P22" s="123">
        <f>+'Total Revenue &amp; Costs (500Ha)'!P28+P14</f>
        <v>155576.41014663468</v>
      </c>
      <c r="Q22" s="123">
        <f>+'Total Revenue &amp; Costs (500Ha)'!Q28+Q14</f>
        <v>152267.24347996805</v>
      </c>
      <c r="R22" s="123">
        <f>+'Total Revenue &amp; Costs (500Ha)'!R28+R14</f>
        <v>146269.37889663468</v>
      </c>
      <c r="S22" s="123">
        <f>+'Total Revenue &amp; Costs (500Ha)'!S28+S14</f>
        <v>3146379.6421319284</v>
      </c>
      <c r="T22" s="123">
        <f>+'Total Revenue &amp; Costs (500Ha)'!T28+T14</f>
        <v>446738.2157021903</v>
      </c>
      <c r="U22" s="123">
        <f>+'Total Revenue &amp; Costs (500Ha)'!U28+U14</f>
        <v>439626.41014663468</v>
      </c>
      <c r="V22" s="123">
        <f>+'Total Revenue &amp; Costs (500Ha)'!V28+V14</f>
        <v>440671.41014663468</v>
      </c>
      <c r="W22" s="123">
        <f>+'Total Revenue &amp; Costs (500Ha)'!W28+W14</f>
        <v>440671.41014663468</v>
      </c>
    </row>
    <row r="23" spans="2:23" x14ac:dyDescent="0.2">
      <c r="D23" s="123">
        <f>+D22</f>
        <v>0</v>
      </c>
      <c r="E23" s="123">
        <f>+E22+D23</f>
        <v>-1773523.8821717282</v>
      </c>
      <c r="F23" s="123">
        <f t="shared" ref="F23:W23" si="12">+F22+E23</f>
        <v>-2248392.9214786873</v>
      </c>
      <c r="G23" s="123">
        <f t="shared" si="12"/>
        <v>-2598668.024115466</v>
      </c>
      <c r="H23" s="123">
        <f t="shared" si="12"/>
        <v>-2771911.2807556903</v>
      </c>
      <c r="I23" s="123">
        <f t="shared" si="12"/>
        <v>-2911849.8706090557</v>
      </c>
      <c r="J23" s="123">
        <f t="shared" si="12"/>
        <v>-2953923.4604624212</v>
      </c>
      <c r="K23" s="123">
        <f t="shared" si="12"/>
        <v>-2918679.5503157866</v>
      </c>
      <c r="L23" s="123">
        <f t="shared" si="12"/>
        <v>-2833719.3901691521</v>
      </c>
      <c r="M23" s="123">
        <f t="shared" si="12"/>
        <v>-2696757.0425225175</v>
      </c>
      <c r="N23" s="123">
        <f t="shared" si="12"/>
        <v>-2546144.3823758829</v>
      </c>
      <c r="O23" s="123">
        <f t="shared" si="12"/>
        <v>-2394704.4305625819</v>
      </c>
      <c r="P23" s="123">
        <f t="shared" si="12"/>
        <v>-2239128.0204159473</v>
      </c>
      <c r="Q23" s="123">
        <f t="shared" si="12"/>
        <v>-2086860.7769359793</v>
      </c>
      <c r="R23" s="123">
        <f t="shared" si="12"/>
        <v>-1940591.3980393447</v>
      </c>
      <c r="S23" s="123">
        <f t="shared" si="12"/>
        <v>1205788.2440925837</v>
      </c>
      <c r="T23" s="123">
        <f t="shared" si="12"/>
        <v>1652526.459794774</v>
      </c>
      <c r="U23" s="123">
        <f t="shared" si="12"/>
        <v>2092152.8699414087</v>
      </c>
      <c r="V23" s="123">
        <f t="shared" si="12"/>
        <v>2532824.2800880433</v>
      </c>
      <c r="W23" s="123">
        <f t="shared" si="12"/>
        <v>2973495.6902346779</v>
      </c>
    </row>
    <row r="27" spans="2:23" x14ac:dyDescent="0.2">
      <c r="C27" s="123"/>
      <c r="D27" s="123"/>
      <c r="E27" s="123"/>
      <c r="F27" s="123"/>
      <c r="G27" s="123"/>
      <c r="H27" s="123"/>
      <c r="I27" s="123"/>
      <c r="J27" s="123"/>
    </row>
    <row r="28" spans="2:23" x14ac:dyDescent="0.2">
      <c r="B28" s="129" t="s">
        <v>170</v>
      </c>
    </row>
    <row r="29" spans="2:23" x14ac:dyDescent="0.2">
      <c r="B29" s="129" t="s">
        <v>521</v>
      </c>
      <c r="C29" s="43">
        <v>0.05</v>
      </c>
    </row>
    <row r="30" spans="2:23" x14ac:dyDescent="0.2">
      <c r="B30" s="129" t="s">
        <v>164</v>
      </c>
      <c r="E30" s="123">
        <f>+D42</f>
        <v>0</v>
      </c>
      <c r="F30" s="123">
        <f t="shared" ref="F30:W30" si="13">+E42</f>
        <v>0</v>
      </c>
      <c r="G30" s="123">
        <f t="shared" si="13"/>
        <v>0</v>
      </c>
      <c r="H30" s="123">
        <f t="shared" si="13"/>
        <v>0</v>
      </c>
      <c r="I30" s="123">
        <f t="shared" si="13"/>
        <v>0</v>
      </c>
      <c r="J30" s="123">
        <f t="shared" si="13"/>
        <v>0</v>
      </c>
      <c r="K30" s="123">
        <f t="shared" si="13"/>
        <v>0</v>
      </c>
      <c r="L30" s="123">
        <f t="shared" si="13"/>
        <v>0</v>
      </c>
      <c r="M30" s="123">
        <f t="shared" si="13"/>
        <v>0</v>
      </c>
      <c r="N30" s="123">
        <f t="shared" si="13"/>
        <v>0</v>
      </c>
      <c r="O30" s="123">
        <f t="shared" si="13"/>
        <v>0</v>
      </c>
      <c r="P30" s="123">
        <f t="shared" si="13"/>
        <v>0</v>
      </c>
      <c r="Q30" s="123">
        <f t="shared" si="13"/>
        <v>0</v>
      </c>
      <c r="R30" s="123">
        <f t="shared" si="13"/>
        <v>0</v>
      </c>
      <c r="S30" s="123">
        <f t="shared" si="13"/>
        <v>0</v>
      </c>
      <c r="T30" s="123">
        <f t="shared" si="13"/>
        <v>0</v>
      </c>
      <c r="U30" s="123">
        <f t="shared" si="13"/>
        <v>0</v>
      </c>
      <c r="V30" s="123">
        <f t="shared" si="13"/>
        <v>0</v>
      </c>
      <c r="W30" s="123">
        <f t="shared" si="13"/>
        <v>0</v>
      </c>
    </row>
    <row r="31" spans="2:23" x14ac:dyDescent="0.2">
      <c r="B31" s="129" t="s">
        <v>149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</row>
    <row r="32" spans="2:23" x14ac:dyDescent="0.2">
      <c r="B32" s="129" t="s">
        <v>520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</row>
    <row r="33" spans="2:23" x14ac:dyDescent="0.2">
      <c r="B33" s="129" t="s">
        <v>171</v>
      </c>
      <c r="D33" s="123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123">
        <v>0</v>
      </c>
    </row>
    <row r="34" spans="2:23" x14ac:dyDescent="0.2">
      <c r="B34" s="129" t="s">
        <v>132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</row>
    <row r="36" spans="2:23" x14ac:dyDescent="0.2">
      <c r="B36" s="129" t="s">
        <v>165</v>
      </c>
      <c r="D36" s="123">
        <f>SUM(D31:D35)</f>
        <v>0</v>
      </c>
      <c r="E36" s="123">
        <f t="shared" ref="E36:W36" si="14">SUM(E31:E35)</f>
        <v>0</v>
      </c>
      <c r="F36" s="123">
        <f t="shared" si="14"/>
        <v>0</v>
      </c>
      <c r="G36" s="123">
        <f t="shared" si="14"/>
        <v>0</v>
      </c>
      <c r="H36" s="123">
        <f t="shared" si="14"/>
        <v>0</v>
      </c>
      <c r="I36" s="123">
        <f t="shared" si="14"/>
        <v>0</v>
      </c>
      <c r="J36" s="123">
        <f t="shared" si="14"/>
        <v>0</v>
      </c>
      <c r="K36" s="123">
        <f t="shared" si="14"/>
        <v>0</v>
      </c>
      <c r="L36" s="123">
        <f t="shared" si="14"/>
        <v>0</v>
      </c>
      <c r="M36" s="123">
        <f t="shared" si="14"/>
        <v>0</v>
      </c>
      <c r="N36" s="123">
        <f t="shared" si="14"/>
        <v>0</v>
      </c>
      <c r="O36" s="123">
        <f t="shared" si="14"/>
        <v>0</v>
      </c>
      <c r="P36" s="123">
        <f t="shared" si="14"/>
        <v>0</v>
      </c>
      <c r="Q36" s="123">
        <f t="shared" si="14"/>
        <v>0</v>
      </c>
      <c r="R36" s="123">
        <f t="shared" si="14"/>
        <v>0</v>
      </c>
      <c r="S36" s="123">
        <f t="shared" si="14"/>
        <v>0</v>
      </c>
      <c r="T36" s="123">
        <f t="shared" si="14"/>
        <v>0</v>
      </c>
      <c r="U36" s="123">
        <f t="shared" si="14"/>
        <v>0</v>
      </c>
      <c r="V36" s="123">
        <f t="shared" si="14"/>
        <v>0</v>
      </c>
      <c r="W36" s="123">
        <f t="shared" si="14"/>
        <v>0</v>
      </c>
    </row>
    <row r="37" spans="2:23" x14ac:dyDescent="0.2">
      <c r="B37" s="129" t="s">
        <v>166</v>
      </c>
    </row>
    <row r="38" spans="2:23" x14ac:dyDescent="0.2">
      <c r="B38" s="129" t="s">
        <v>167</v>
      </c>
      <c r="D38" s="123">
        <f>+D30+D36-D37</f>
        <v>0</v>
      </c>
      <c r="E38" s="123">
        <f t="shared" ref="E38:W38" si="15">+E30+E36-E37</f>
        <v>0</v>
      </c>
      <c r="F38" s="123">
        <f t="shared" si="15"/>
        <v>0</v>
      </c>
      <c r="G38" s="123">
        <f t="shared" si="15"/>
        <v>0</v>
      </c>
      <c r="H38" s="123">
        <f t="shared" si="15"/>
        <v>0</v>
      </c>
      <c r="I38" s="123">
        <f t="shared" si="15"/>
        <v>0</v>
      </c>
      <c r="J38" s="123">
        <f t="shared" si="15"/>
        <v>0</v>
      </c>
      <c r="K38" s="123">
        <f t="shared" si="15"/>
        <v>0</v>
      </c>
      <c r="L38" s="123">
        <f t="shared" si="15"/>
        <v>0</v>
      </c>
      <c r="M38" s="123">
        <f t="shared" si="15"/>
        <v>0</v>
      </c>
      <c r="N38" s="123">
        <f t="shared" si="15"/>
        <v>0</v>
      </c>
      <c r="O38" s="123">
        <f t="shared" si="15"/>
        <v>0</v>
      </c>
      <c r="P38" s="123">
        <f t="shared" si="15"/>
        <v>0</v>
      </c>
      <c r="Q38" s="123">
        <f t="shared" si="15"/>
        <v>0</v>
      </c>
      <c r="R38" s="123">
        <f t="shared" si="15"/>
        <v>0</v>
      </c>
      <c r="S38" s="123">
        <f t="shared" si="15"/>
        <v>0</v>
      </c>
      <c r="T38" s="123">
        <f t="shared" si="15"/>
        <v>0</v>
      </c>
      <c r="U38" s="123">
        <f t="shared" si="15"/>
        <v>0</v>
      </c>
      <c r="V38" s="123">
        <f t="shared" si="15"/>
        <v>0</v>
      </c>
      <c r="W38" s="123">
        <f t="shared" si="15"/>
        <v>0</v>
      </c>
    </row>
    <row r="40" spans="2:23" x14ac:dyDescent="0.2">
      <c r="B40" s="129" t="s">
        <v>168</v>
      </c>
      <c r="C40" s="43">
        <f>+C29</f>
        <v>0.05</v>
      </c>
      <c r="D40" s="123">
        <f>SUM($D36:D36)*$C40</f>
        <v>0</v>
      </c>
      <c r="E40" s="123">
        <f>SUM($D36:E36)*$C40</f>
        <v>0</v>
      </c>
      <c r="F40" s="123">
        <f>SUM($D36:F36)*$C40</f>
        <v>0</v>
      </c>
      <c r="G40" s="123">
        <f>SUM($D36:G36)*$C40</f>
        <v>0</v>
      </c>
      <c r="H40" s="123">
        <f>SUM($D36:H36)*$C40</f>
        <v>0</v>
      </c>
      <c r="I40" s="123">
        <f>SUM($D36:I36)*$C40</f>
        <v>0</v>
      </c>
      <c r="J40" s="123">
        <f>SUM($D36:J36)*$C40</f>
        <v>0</v>
      </c>
      <c r="K40" s="123">
        <f>SUM($D36:K36)*$C40</f>
        <v>0</v>
      </c>
      <c r="L40" s="123">
        <f>SUM($D36:L36)*$C40</f>
        <v>0</v>
      </c>
      <c r="M40" s="123">
        <f>SUM($D36:M36)*$C40</f>
        <v>0</v>
      </c>
      <c r="N40" s="123">
        <f>SUM($D36:N36)*$C40</f>
        <v>0</v>
      </c>
      <c r="O40" s="123">
        <f>SUM($D36:O36)*$C40</f>
        <v>0</v>
      </c>
      <c r="P40" s="123">
        <f>SUM($D36:P36)*$C40</f>
        <v>0</v>
      </c>
      <c r="Q40" s="123">
        <f>SUM($D36:Q36)*$C40</f>
        <v>0</v>
      </c>
      <c r="R40" s="123">
        <f>SUM($D36:R36)*$C40</f>
        <v>0</v>
      </c>
      <c r="S40" s="123">
        <f>SUM($D36:S36)*$C40</f>
        <v>0</v>
      </c>
      <c r="T40" s="123">
        <f>SUM($D36:T36)*$C40</f>
        <v>0</v>
      </c>
      <c r="U40" s="123">
        <f>SUM($D36:U36)*$C40</f>
        <v>0</v>
      </c>
      <c r="V40" s="123">
        <f>SUM($D36:V36)*$C40</f>
        <v>0</v>
      </c>
      <c r="W40" s="123">
        <f>SUM($D36:W36)*$C40</f>
        <v>0</v>
      </c>
    </row>
    <row r="42" spans="2:23" x14ac:dyDescent="0.2">
      <c r="B42" s="41" t="s">
        <v>169</v>
      </c>
      <c r="D42" s="123">
        <f>+D38-D40</f>
        <v>0</v>
      </c>
      <c r="E42" s="123">
        <f t="shared" ref="E42:W42" si="16">+E38-E40</f>
        <v>0</v>
      </c>
      <c r="F42" s="123">
        <f t="shared" si="16"/>
        <v>0</v>
      </c>
      <c r="G42" s="123">
        <f t="shared" si="16"/>
        <v>0</v>
      </c>
      <c r="H42" s="123">
        <f t="shared" si="16"/>
        <v>0</v>
      </c>
      <c r="I42" s="123">
        <f t="shared" si="16"/>
        <v>0</v>
      </c>
      <c r="J42" s="123">
        <f t="shared" si="16"/>
        <v>0</v>
      </c>
      <c r="K42" s="123">
        <f t="shared" si="16"/>
        <v>0</v>
      </c>
      <c r="L42" s="123">
        <f t="shared" si="16"/>
        <v>0</v>
      </c>
      <c r="M42" s="123">
        <f t="shared" si="16"/>
        <v>0</v>
      </c>
      <c r="N42" s="123">
        <f t="shared" si="16"/>
        <v>0</v>
      </c>
      <c r="O42" s="123">
        <f t="shared" si="16"/>
        <v>0</v>
      </c>
      <c r="P42" s="123">
        <f t="shared" si="16"/>
        <v>0</v>
      </c>
      <c r="Q42" s="123">
        <f t="shared" si="16"/>
        <v>0</v>
      </c>
      <c r="R42" s="123">
        <f t="shared" si="16"/>
        <v>0</v>
      </c>
      <c r="S42" s="123">
        <f t="shared" si="16"/>
        <v>0</v>
      </c>
      <c r="T42" s="123">
        <f t="shared" si="16"/>
        <v>0</v>
      </c>
      <c r="U42" s="123">
        <f t="shared" si="16"/>
        <v>0</v>
      </c>
      <c r="V42" s="123">
        <f t="shared" si="16"/>
        <v>0</v>
      </c>
      <c r="W42" s="123">
        <f t="shared" si="16"/>
        <v>0</v>
      </c>
    </row>
    <row r="45" spans="2:23" x14ac:dyDescent="0.2">
      <c r="B45" s="129" t="s">
        <v>144</v>
      </c>
      <c r="C45" s="43">
        <v>0.1</v>
      </c>
    </row>
    <row r="46" spans="2:23" x14ac:dyDescent="0.2">
      <c r="B46" s="129" t="s">
        <v>164</v>
      </c>
      <c r="E46" s="123">
        <f>+D56</f>
        <v>0</v>
      </c>
      <c r="F46" s="123">
        <f t="shared" ref="F46:W46" si="17">+E56</f>
        <v>0</v>
      </c>
      <c r="G46" s="123">
        <f t="shared" si="17"/>
        <v>0</v>
      </c>
      <c r="H46" s="123">
        <f t="shared" si="17"/>
        <v>0</v>
      </c>
      <c r="I46" s="123">
        <f t="shared" si="17"/>
        <v>0</v>
      </c>
      <c r="J46" s="123">
        <f t="shared" si="17"/>
        <v>0</v>
      </c>
      <c r="K46" s="123">
        <f t="shared" si="17"/>
        <v>0</v>
      </c>
      <c r="L46" s="123">
        <f t="shared" si="17"/>
        <v>0</v>
      </c>
      <c r="M46" s="123">
        <f t="shared" si="17"/>
        <v>0</v>
      </c>
      <c r="N46" s="123">
        <f t="shared" si="17"/>
        <v>0</v>
      </c>
      <c r="O46" s="123">
        <f t="shared" si="17"/>
        <v>0</v>
      </c>
      <c r="P46" s="123">
        <f t="shared" si="17"/>
        <v>0</v>
      </c>
      <c r="Q46" s="123">
        <f t="shared" si="17"/>
        <v>0</v>
      </c>
      <c r="R46" s="123">
        <f t="shared" si="17"/>
        <v>0</v>
      </c>
      <c r="S46" s="123">
        <f t="shared" si="17"/>
        <v>0</v>
      </c>
      <c r="T46" s="123">
        <f t="shared" si="17"/>
        <v>0</v>
      </c>
      <c r="U46" s="123">
        <f t="shared" si="17"/>
        <v>0</v>
      </c>
      <c r="V46" s="123">
        <f t="shared" si="17"/>
        <v>0</v>
      </c>
      <c r="W46" s="123">
        <f t="shared" si="17"/>
        <v>0</v>
      </c>
    </row>
    <row r="47" spans="2:23" x14ac:dyDescent="0.2">
      <c r="B47" s="129" t="s">
        <v>131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  <c r="O47" s="123">
        <v>0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</row>
    <row r="48" spans="2:23" x14ac:dyDescent="0.2">
      <c r="B48" s="129" t="s">
        <v>172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</row>
    <row r="50" spans="2:23" x14ac:dyDescent="0.2">
      <c r="B50" s="129" t="s">
        <v>165</v>
      </c>
      <c r="D50" s="123">
        <f t="shared" ref="D50:W50" si="18">SUM(D47:D49)</f>
        <v>0</v>
      </c>
      <c r="E50" s="123">
        <f t="shared" si="18"/>
        <v>0</v>
      </c>
      <c r="F50" s="123">
        <f t="shared" si="18"/>
        <v>0</v>
      </c>
      <c r="G50" s="123">
        <f t="shared" si="18"/>
        <v>0</v>
      </c>
      <c r="H50" s="123">
        <f t="shared" si="18"/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  <c r="T50" s="123">
        <f t="shared" si="18"/>
        <v>0</v>
      </c>
      <c r="U50" s="123">
        <f t="shared" si="18"/>
        <v>0</v>
      </c>
      <c r="V50" s="123">
        <f t="shared" si="18"/>
        <v>0</v>
      </c>
      <c r="W50" s="123">
        <f t="shared" si="18"/>
        <v>0</v>
      </c>
    </row>
    <row r="51" spans="2:23" x14ac:dyDescent="0.2">
      <c r="B51" s="129" t="s">
        <v>166</v>
      </c>
    </row>
    <row r="52" spans="2:23" x14ac:dyDescent="0.2">
      <c r="B52" s="129" t="s">
        <v>167</v>
      </c>
      <c r="D52" s="123">
        <f t="shared" ref="D52:W52" si="19">+D46+D50-D51</f>
        <v>0</v>
      </c>
      <c r="E52" s="123">
        <f t="shared" si="19"/>
        <v>0</v>
      </c>
      <c r="F52" s="123">
        <f t="shared" si="19"/>
        <v>0</v>
      </c>
      <c r="G52" s="123">
        <f t="shared" si="19"/>
        <v>0</v>
      </c>
      <c r="H52" s="123">
        <f t="shared" si="19"/>
        <v>0</v>
      </c>
      <c r="I52" s="123">
        <f t="shared" si="19"/>
        <v>0</v>
      </c>
      <c r="J52" s="123">
        <f t="shared" si="19"/>
        <v>0</v>
      </c>
      <c r="K52" s="123">
        <f t="shared" si="19"/>
        <v>0</v>
      </c>
      <c r="L52" s="123">
        <f t="shared" si="19"/>
        <v>0</v>
      </c>
      <c r="M52" s="123">
        <f t="shared" si="19"/>
        <v>0</v>
      </c>
      <c r="N52" s="123">
        <f t="shared" si="19"/>
        <v>0</v>
      </c>
      <c r="O52" s="123">
        <f t="shared" si="19"/>
        <v>0</v>
      </c>
      <c r="P52" s="123">
        <f t="shared" si="19"/>
        <v>0</v>
      </c>
      <c r="Q52" s="123">
        <f t="shared" si="19"/>
        <v>0</v>
      </c>
      <c r="R52" s="123">
        <f t="shared" si="19"/>
        <v>0</v>
      </c>
      <c r="S52" s="123">
        <f t="shared" si="19"/>
        <v>0</v>
      </c>
      <c r="T52" s="123">
        <f t="shared" si="19"/>
        <v>0</v>
      </c>
      <c r="U52" s="123">
        <f t="shared" si="19"/>
        <v>0</v>
      </c>
      <c r="V52" s="123">
        <f t="shared" si="19"/>
        <v>0</v>
      </c>
      <c r="W52" s="123">
        <f t="shared" si="19"/>
        <v>0</v>
      </c>
    </row>
    <row r="54" spans="2:23" x14ac:dyDescent="0.2">
      <c r="B54" s="129" t="s">
        <v>168</v>
      </c>
      <c r="C54" s="43">
        <f>+C45</f>
        <v>0.1</v>
      </c>
      <c r="D54" s="123">
        <f>+D52*$C54</f>
        <v>0</v>
      </c>
      <c r="E54" s="123">
        <f t="shared" ref="E54:W54" si="20">+E52*$C54</f>
        <v>0</v>
      </c>
      <c r="F54" s="123">
        <f t="shared" si="20"/>
        <v>0</v>
      </c>
      <c r="G54" s="123">
        <f t="shared" si="20"/>
        <v>0</v>
      </c>
      <c r="H54" s="123">
        <f t="shared" si="20"/>
        <v>0</v>
      </c>
      <c r="I54" s="123">
        <f t="shared" si="20"/>
        <v>0</v>
      </c>
      <c r="J54" s="123">
        <f t="shared" si="20"/>
        <v>0</v>
      </c>
      <c r="K54" s="123">
        <f>+K52*$C54</f>
        <v>0</v>
      </c>
      <c r="L54" s="123">
        <f t="shared" si="20"/>
        <v>0</v>
      </c>
      <c r="M54" s="123">
        <f t="shared" si="20"/>
        <v>0</v>
      </c>
      <c r="N54" s="123">
        <f t="shared" si="20"/>
        <v>0</v>
      </c>
      <c r="O54" s="123">
        <f t="shared" si="20"/>
        <v>0</v>
      </c>
      <c r="P54" s="123">
        <f t="shared" si="20"/>
        <v>0</v>
      </c>
      <c r="Q54" s="123">
        <f t="shared" si="20"/>
        <v>0</v>
      </c>
      <c r="R54" s="123">
        <f t="shared" si="20"/>
        <v>0</v>
      </c>
      <c r="S54" s="123">
        <f t="shared" si="20"/>
        <v>0</v>
      </c>
      <c r="T54" s="123">
        <f t="shared" si="20"/>
        <v>0</v>
      </c>
      <c r="U54" s="123">
        <f t="shared" si="20"/>
        <v>0</v>
      </c>
      <c r="V54" s="123">
        <f t="shared" si="20"/>
        <v>0</v>
      </c>
      <c r="W54" s="123">
        <f t="shared" si="20"/>
        <v>0</v>
      </c>
    </row>
    <row r="56" spans="2:23" x14ac:dyDescent="0.2">
      <c r="B56" s="41" t="s">
        <v>169</v>
      </c>
      <c r="D56" s="123">
        <f>+D52-D54</f>
        <v>0</v>
      </c>
      <c r="E56" s="123">
        <f t="shared" ref="E56:W56" si="21">+E52-E54</f>
        <v>0</v>
      </c>
      <c r="F56" s="123">
        <f t="shared" si="21"/>
        <v>0</v>
      </c>
      <c r="G56" s="123">
        <f t="shared" si="21"/>
        <v>0</v>
      </c>
      <c r="H56" s="123">
        <f t="shared" si="21"/>
        <v>0</v>
      </c>
      <c r="I56" s="123">
        <f t="shared" si="21"/>
        <v>0</v>
      </c>
      <c r="J56" s="123">
        <f t="shared" si="21"/>
        <v>0</v>
      </c>
      <c r="K56" s="123">
        <f t="shared" si="21"/>
        <v>0</v>
      </c>
      <c r="L56" s="123">
        <f t="shared" si="21"/>
        <v>0</v>
      </c>
      <c r="M56" s="123">
        <f t="shared" si="21"/>
        <v>0</v>
      </c>
      <c r="N56" s="123">
        <f t="shared" si="21"/>
        <v>0</v>
      </c>
      <c r="O56" s="123">
        <f t="shared" si="21"/>
        <v>0</v>
      </c>
      <c r="P56" s="123">
        <f t="shared" si="21"/>
        <v>0</v>
      </c>
      <c r="Q56" s="123">
        <f t="shared" si="21"/>
        <v>0</v>
      </c>
      <c r="R56" s="123">
        <f t="shared" si="21"/>
        <v>0</v>
      </c>
      <c r="S56" s="123">
        <f t="shared" si="21"/>
        <v>0</v>
      </c>
      <c r="T56" s="123">
        <f t="shared" si="21"/>
        <v>0</v>
      </c>
      <c r="U56" s="123">
        <f t="shared" si="21"/>
        <v>0</v>
      </c>
      <c r="V56" s="123">
        <f t="shared" si="21"/>
        <v>0</v>
      </c>
      <c r="W56" s="123">
        <f t="shared" si="21"/>
        <v>0</v>
      </c>
    </row>
    <row r="59" spans="2:23" x14ac:dyDescent="0.2">
      <c r="B59" s="129" t="s">
        <v>145</v>
      </c>
      <c r="C59" s="43">
        <v>0.2</v>
      </c>
    </row>
    <row r="60" spans="2:23" x14ac:dyDescent="0.2">
      <c r="B60" s="129" t="s">
        <v>164</v>
      </c>
      <c r="E60" s="123">
        <f>+D69</f>
        <v>0</v>
      </c>
      <c r="F60" s="123">
        <f t="shared" ref="F60:W60" si="22">+E69</f>
        <v>0</v>
      </c>
      <c r="G60" s="123">
        <f t="shared" si="22"/>
        <v>0</v>
      </c>
      <c r="H60" s="123">
        <f t="shared" si="22"/>
        <v>0</v>
      </c>
      <c r="I60" s="123">
        <f t="shared" si="22"/>
        <v>0</v>
      </c>
      <c r="J60" s="123">
        <f t="shared" si="22"/>
        <v>0</v>
      </c>
      <c r="K60" s="123">
        <f t="shared" si="22"/>
        <v>0</v>
      </c>
      <c r="L60" s="123">
        <f t="shared" si="22"/>
        <v>0</v>
      </c>
      <c r="M60" s="123">
        <f t="shared" si="22"/>
        <v>0</v>
      </c>
      <c r="N60" s="123">
        <f t="shared" si="22"/>
        <v>0</v>
      </c>
      <c r="O60" s="123">
        <f t="shared" si="22"/>
        <v>0</v>
      </c>
      <c r="P60" s="123">
        <f t="shared" si="22"/>
        <v>0</v>
      </c>
      <c r="Q60" s="123">
        <f t="shared" si="22"/>
        <v>0</v>
      </c>
      <c r="R60" s="123">
        <f t="shared" si="22"/>
        <v>0</v>
      </c>
      <c r="S60" s="123">
        <f t="shared" si="22"/>
        <v>0</v>
      </c>
      <c r="T60" s="123">
        <f t="shared" si="22"/>
        <v>0</v>
      </c>
      <c r="U60" s="123">
        <f t="shared" si="22"/>
        <v>0</v>
      </c>
      <c r="V60" s="123">
        <f t="shared" si="22"/>
        <v>0</v>
      </c>
      <c r="W60" s="123">
        <f t="shared" si="22"/>
        <v>0</v>
      </c>
    </row>
    <row r="61" spans="2:23" x14ac:dyDescent="0.2">
      <c r="B61" s="129" t="s">
        <v>145</v>
      </c>
      <c r="D61" s="123">
        <v>0</v>
      </c>
      <c r="E61" s="123">
        <v>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  <c r="R61" s="123">
        <v>0</v>
      </c>
      <c r="S61" s="123">
        <v>0</v>
      </c>
      <c r="T61" s="123">
        <v>0</v>
      </c>
      <c r="U61" s="123">
        <v>0</v>
      </c>
      <c r="V61" s="123">
        <v>0</v>
      </c>
      <c r="W61" s="123">
        <v>0</v>
      </c>
    </row>
    <row r="63" spans="2:23" x14ac:dyDescent="0.2">
      <c r="B63" s="129" t="s">
        <v>165</v>
      </c>
      <c r="D63" s="123">
        <f t="shared" ref="D63:W63" si="23">SUM(D61:D62)</f>
        <v>0</v>
      </c>
      <c r="E63" s="123">
        <f t="shared" si="23"/>
        <v>0</v>
      </c>
      <c r="F63" s="123">
        <f t="shared" si="23"/>
        <v>0</v>
      </c>
      <c r="G63" s="123">
        <f t="shared" si="23"/>
        <v>0</v>
      </c>
      <c r="H63" s="123">
        <f t="shared" si="23"/>
        <v>0</v>
      </c>
      <c r="I63" s="123">
        <f t="shared" si="23"/>
        <v>0</v>
      </c>
      <c r="J63" s="123">
        <f t="shared" si="23"/>
        <v>0</v>
      </c>
      <c r="K63" s="123">
        <f t="shared" si="23"/>
        <v>0</v>
      </c>
      <c r="L63" s="123">
        <f t="shared" si="23"/>
        <v>0</v>
      </c>
      <c r="M63" s="123">
        <f t="shared" si="23"/>
        <v>0</v>
      </c>
      <c r="N63" s="123">
        <f t="shared" si="23"/>
        <v>0</v>
      </c>
      <c r="O63" s="123">
        <f t="shared" si="23"/>
        <v>0</v>
      </c>
      <c r="P63" s="123">
        <f t="shared" si="23"/>
        <v>0</v>
      </c>
      <c r="Q63" s="123">
        <f t="shared" si="23"/>
        <v>0</v>
      </c>
      <c r="R63" s="123">
        <f t="shared" si="23"/>
        <v>0</v>
      </c>
      <c r="S63" s="123">
        <f t="shared" si="23"/>
        <v>0</v>
      </c>
      <c r="T63" s="123">
        <f t="shared" si="23"/>
        <v>0</v>
      </c>
      <c r="U63" s="123">
        <f t="shared" si="23"/>
        <v>0</v>
      </c>
      <c r="V63" s="123">
        <f t="shared" si="23"/>
        <v>0</v>
      </c>
      <c r="W63" s="123">
        <f t="shared" si="23"/>
        <v>0</v>
      </c>
    </row>
    <row r="64" spans="2:23" x14ac:dyDescent="0.2">
      <c r="B64" s="129" t="s">
        <v>166</v>
      </c>
    </row>
    <row r="65" spans="2:23" x14ac:dyDescent="0.2">
      <c r="B65" s="129" t="s">
        <v>167</v>
      </c>
      <c r="D65" s="123">
        <f t="shared" ref="D65:W65" si="24">+D60+D63-D64</f>
        <v>0</v>
      </c>
      <c r="E65" s="123">
        <f t="shared" si="24"/>
        <v>0</v>
      </c>
      <c r="F65" s="123">
        <f t="shared" si="24"/>
        <v>0</v>
      </c>
      <c r="G65" s="123">
        <f t="shared" si="24"/>
        <v>0</v>
      </c>
      <c r="H65" s="123">
        <f t="shared" si="24"/>
        <v>0</v>
      </c>
      <c r="I65" s="123">
        <f t="shared" si="24"/>
        <v>0</v>
      </c>
      <c r="J65" s="123">
        <f t="shared" si="24"/>
        <v>0</v>
      </c>
      <c r="K65" s="123">
        <f t="shared" si="24"/>
        <v>0</v>
      </c>
      <c r="L65" s="123">
        <f t="shared" si="24"/>
        <v>0</v>
      </c>
      <c r="M65" s="123">
        <f t="shared" si="24"/>
        <v>0</v>
      </c>
      <c r="N65" s="123">
        <f t="shared" si="24"/>
        <v>0</v>
      </c>
      <c r="O65" s="123">
        <f t="shared" si="24"/>
        <v>0</v>
      </c>
      <c r="P65" s="123">
        <f t="shared" si="24"/>
        <v>0</v>
      </c>
      <c r="Q65" s="123">
        <f t="shared" si="24"/>
        <v>0</v>
      </c>
      <c r="R65" s="123">
        <f t="shared" si="24"/>
        <v>0</v>
      </c>
      <c r="S65" s="123">
        <f t="shared" si="24"/>
        <v>0</v>
      </c>
      <c r="T65" s="123">
        <f t="shared" si="24"/>
        <v>0</v>
      </c>
      <c r="U65" s="123">
        <f t="shared" si="24"/>
        <v>0</v>
      </c>
      <c r="V65" s="123">
        <f t="shared" si="24"/>
        <v>0</v>
      </c>
      <c r="W65" s="123">
        <f t="shared" si="24"/>
        <v>0</v>
      </c>
    </row>
    <row r="67" spans="2:23" x14ac:dyDescent="0.2">
      <c r="B67" s="129" t="s">
        <v>168</v>
      </c>
      <c r="C67" s="43">
        <f>+C59</f>
        <v>0.2</v>
      </c>
      <c r="D67" s="123">
        <f>SUM($D63:D63)*$C67</f>
        <v>0</v>
      </c>
      <c r="E67" s="123">
        <f>SUM($D63:E63)*$C67</f>
        <v>0</v>
      </c>
      <c r="F67" s="123">
        <f>SUM($D63:F63)*$C67</f>
        <v>0</v>
      </c>
      <c r="G67" s="123">
        <f>SUM($D63:G63)*$C67</f>
        <v>0</v>
      </c>
      <c r="H67" s="123">
        <f>SUM(D63:H63)*$C67</f>
        <v>0</v>
      </c>
      <c r="I67" s="123">
        <f t="shared" ref="I67:W67" si="25">SUM(E63:I63)*$C67</f>
        <v>0</v>
      </c>
      <c r="J67" s="123">
        <f t="shared" si="25"/>
        <v>0</v>
      </c>
      <c r="K67" s="123">
        <f t="shared" si="25"/>
        <v>0</v>
      </c>
      <c r="L67" s="123">
        <f t="shared" si="25"/>
        <v>0</v>
      </c>
      <c r="M67" s="123">
        <f t="shared" si="25"/>
        <v>0</v>
      </c>
      <c r="N67" s="123">
        <f t="shared" si="25"/>
        <v>0</v>
      </c>
      <c r="O67" s="123">
        <f t="shared" si="25"/>
        <v>0</v>
      </c>
      <c r="P67" s="123">
        <f t="shared" si="25"/>
        <v>0</v>
      </c>
      <c r="Q67" s="123">
        <f t="shared" si="25"/>
        <v>0</v>
      </c>
      <c r="R67" s="123">
        <f t="shared" si="25"/>
        <v>0</v>
      </c>
      <c r="S67" s="123">
        <f t="shared" si="25"/>
        <v>0</v>
      </c>
      <c r="T67" s="123">
        <f t="shared" si="25"/>
        <v>0</v>
      </c>
      <c r="U67" s="123">
        <f t="shared" si="25"/>
        <v>0</v>
      </c>
      <c r="V67" s="123">
        <f t="shared" si="25"/>
        <v>0</v>
      </c>
      <c r="W67" s="123">
        <f t="shared" si="25"/>
        <v>0</v>
      </c>
    </row>
    <row r="69" spans="2:23" x14ac:dyDescent="0.2">
      <c r="B69" s="41" t="s">
        <v>169</v>
      </c>
      <c r="D69" s="123">
        <f>+D65-D67</f>
        <v>0</v>
      </c>
      <c r="E69" s="123">
        <f t="shared" ref="E69:W69" si="26">+E65-E67</f>
        <v>0</v>
      </c>
      <c r="F69" s="123">
        <f t="shared" si="26"/>
        <v>0</v>
      </c>
      <c r="G69" s="123">
        <f t="shared" si="26"/>
        <v>0</v>
      </c>
      <c r="H69" s="123">
        <f t="shared" si="26"/>
        <v>0</v>
      </c>
      <c r="I69" s="123">
        <f t="shared" si="26"/>
        <v>0</v>
      </c>
      <c r="J69" s="123">
        <f t="shared" si="26"/>
        <v>0</v>
      </c>
      <c r="K69" s="123">
        <f t="shared" si="26"/>
        <v>0</v>
      </c>
      <c r="L69" s="123">
        <f t="shared" si="26"/>
        <v>0</v>
      </c>
      <c r="M69" s="123">
        <f t="shared" si="26"/>
        <v>0</v>
      </c>
      <c r="N69" s="123">
        <f t="shared" si="26"/>
        <v>0</v>
      </c>
      <c r="O69" s="123">
        <f t="shared" si="26"/>
        <v>0</v>
      </c>
      <c r="P69" s="123">
        <f t="shared" si="26"/>
        <v>0</v>
      </c>
      <c r="Q69" s="123">
        <f t="shared" si="26"/>
        <v>0</v>
      </c>
      <c r="R69" s="123">
        <f t="shared" si="26"/>
        <v>0</v>
      </c>
      <c r="S69" s="123">
        <f t="shared" si="26"/>
        <v>0</v>
      </c>
      <c r="T69" s="123">
        <f t="shared" si="26"/>
        <v>0</v>
      </c>
      <c r="U69" s="123">
        <f t="shared" si="26"/>
        <v>0</v>
      </c>
      <c r="V69" s="123">
        <f t="shared" si="26"/>
        <v>0</v>
      </c>
      <c r="W69" s="123">
        <f t="shared" si="26"/>
        <v>0</v>
      </c>
    </row>
    <row r="72" spans="2:23" x14ac:dyDescent="0.2">
      <c r="B72" s="70" t="s">
        <v>371</v>
      </c>
      <c r="C72" s="43">
        <v>0.33333333333333298</v>
      </c>
    </row>
    <row r="73" spans="2:23" x14ac:dyDescent="0.2">
      <c r="B73" s="129" t="s">
        <v>164</v>
      </c>
      <c r="E73" s="123">
        <f>+D82</f>
        <v>0</v>
      </c>
      <c r="F73" s="123">
        <f t="shared" ref="F73:W73" si="27">+E82</f>
        <v>0</v>
      </c>
      <c r="G73" s="123">
        <f t="shared" si="27"/>
        <v>0</v>
      </c>
      <c r="H73" s="123">
        <f t="shared" si="27"/>
        <v>0</v>
      </c>
      <c r="I73" s="123">
        <f t="shared" si="27"/>
        <v>0</v>
      </c>
      <c r="J73" s="123">
        <f t="shared" si="27"/>
        <v>0</v>
      </c>
      <c r="K73" s="123">
        <f t="shared" si="27"/>
        <v>0</v>
      </c>
      <c r="L73" s="123">
        <f t="shared" si="27"/>
        <v>0</v>
      </c>
      <c r="M73" s="123">
        <f t="shared" si="27"/>
        <v>0</v>
      </c>
      <c r="N73" s="123">
        <f t="shared" si="27"/>
        <v>0</v>
      </c>
      <c r="O73" s="123">
        <f t="shared" si="27"/>
        <v>0</v>
      </c>
      <c r="P73" s="123">
        <f t="shared" si="27"/>
        <v>0</v>
      </c>
      <c r="Q73" s="123">
        <f t="shared" si="27"/>
        <v>0</v>
      </c>
      <c r="R73" s="123">
        <f t="shared" si="27"/>
        <v>0</v>
      </c>
      <c r="S73" s="123">
        <f t="shared" si="27"/>
        <v>0</v>
      </c>
      <c r="T73" s="123">
        <f t="shared" si="27"/>
        <v>0</v>
      </c>
      <c r="U73" s="123">
        <f t="shared" si="27"/>
        <v>0</v>
      </c>
      <c r="V73" s="123">
        <f t="shared" si="27"/>
        <v>0</v>
      </c>
      <c r="W73" s="123">
        <f t="shared" si="27"/>
        <v>0</v>
      </c>
    </row>
    <row r="74" spans="2:23" x14ac:dyDescent="0.2">
      <c r="B74" s="70" t="s">
        <v>371</v>
      </c>
      <c r="D74" s="123">
        <v>0</v>
      </c>
      <c r="E74" s="123">
        <v>0</v>
      </c>
      <c r="F74" s="123">
        <v>0</v>
      </c>
      <c r="G74" s="123">
        <v>0</v>
      </c>
      <c r="H74" s="123">
        <v>0</v>
      </c>
      <c r="I74" s="123">
        <v>0</v>
      </c>
      <c r="J74" s="123">
        <v>0</v>
      </c>
      <c r="K74" s="123">
        <v>0</v>
      </c>
      <c r="L74" s="123">
        <v>0</v>
      </c>
      <c r="M74" s="123">
        <v>0</v>
      </c>
      <c r="N74" s="123">
        <v>0</v>
      </c>
      <c r="O74" s="123">
        <v>0</v>
      </c>
      <c r="P74" s="123">
        <v>0</v>
      </c>
      <c r="Q74" s="123">
        <v>0</v>
      </c>
      <c r="R74" s="123">
        <v>0</v>
      </c>
      <c r="S74" s="123">
        <v>0</v>
      </c>
      <c r="T74" s="123">
        <v>0</v>
      </c>
      <c r="U74" s="123">
        <v>0</v>
      </c>
      <c r="V74" s="123">
        <v>0</v>
      </c>
      <c r="W74" s="123">
        <v>0</v>
      </c>
    </row>
    <row r="76" spans="2:23" x14ac:dyDescent="0.2">
      <c r="B76" s="129" t="s">
        <v>165</v>
      </c>
      <c r="D76" s="123">
        <f t="shared" ref="D76:W76" si="28">SUM(D74:D75)</f>
        <v>0</v>
      </c>
      <c r="E76" s="123">
        <f t="shared" si="28"/>
        <v>0</v>
      </c>
      <c r="F76" s="123">
        <f t="shared" si="28"/>
        <v>0</v>
      </c>
      <c r="G76" s="123">
        <f t="shared" si="28"/>
        <v>0</v>
      </c>
      <c r="H76" s="123">
        <f t="shared" si="28"/>
        <v>0</v>
      </c>
      <c r="I76" s="123">
        <f t="shared" si="28"/>
        <v>0</v>
      </c>
      <c r="J76" s="123">
        <f t="shared" si="28"/>
        <v>0</v>
      </c>
      <c r="K76" s="123">
        <f t="shared" si="28"/>
        <v>0</v>
      </c>
      <c r="L76" s="123">
        <f t="shared" si="28"/>
        <v>0</v>
      </c>
      <c r="M76" s="123">
        <f t="shared" si="28"/>
        <v>0</v>
      </c>
      <c r="N76" s="123">
        <f t="shared" si="28"/>
        <v>0</v>
      </c>
      <c r="O76" s="123">
        <f t="shared" si="28"/>
        <v>0</v>
      </c>
      <c r="P76" s="123">
        <f t="shared" si="28"/>
        <v>0</v>
      </c>
      <c r="Q76" s="123">
        <f t="shared" si="28"/>
        <v>0</v>
      </c>
      <c r="R76" s="123">
        <f t="shared" si="28"/>
        <v>0</v>
      </c>
      <c r="S76" s="123">
        <f t="shared" si="28"/>
        <v>0</v>
      </c>
      <c r="T76" s="123">
        <f t="shared" si="28"/>
        <v>0</v>
      </c>
      <c r="U76" s="123">
        <f t="shared" si="28"/>
        <v>0</v>
      </c>
      <c r="V76" s="123">
        <f t="shared" si="28"/>
        <v>0</v>
      </c>
      <c r="W76" s="123">
        <f t="shared" si="28"/>
        <v>0</v>
      </c>
    </row>
    <row r="77" spans="2:23" x14ac:dyDescent="0.2">
      <c r="B77" s="129" t="s">
        <v>166</v>
      </c>
    </row>
    <row r="78" spans="2:23" x14ac:dyDescent="0.2">
      <c r="B78" s="129" t="s">
        <v>167</v>
      </c>
      <c r="D78" s="123">
        <f t="shared" ref="D78:W78" si="29">+D73+D76-D77</f>
        <v>0</v>
      </c>
      <c r="E78" s="123">
        <f t="shared" si="29"/>
        <v>0</v>
      </c>
      <c r="F78" s="123">
        <f t="shared" si="29"/>
        <v>0</v>
      </c>
      <c r="G78" s="123">
        <f t="shared" si="29"/>
        <v>0</v>
      </c>
      <c r="H78" s="123">
        <f t="shared" si="29"/>
        <v>0</v>
      </c>
      <c r="I78" s="123">
        <f t="shared" si="29"/>
        <v>0</v>
      </c>
      <c r="J78" s="123">
        <f t="shared" si="29"/>
        <v>0</v>
      </c>
      <c r="K78" s="123">
        <f t="shared" si="29"/>
        <v>0</v>
      </c>
      <c r="L78" s="123">
        <f t="shared" si="29"/>
        <v>0</v>
      </c>
      <c r="M78" s="123">
        <f t="shared" si="29"/>
        <v>0</v>
      </c>
      <c r="N78" s="123">
        <f t="shared" si="29"/>
        <v>0</v>
      </c>
      <c r="O78" s="123">
        <f t="shared" si="29"/>
        <v>0</v>
      </c>
      <c r="P78" s="123">
        <f t="shared" si="29"/>
        <v>0</v>
      </c>
      <c r="Q78" s="123">
        <f t="shared" si="29"/>
        <v>0</v>
      </c>
      <c r="R78" s="123">
        <f t="shared" si="29"/>
        <v>0</v>
      </c>
      <c r="S78" s="123">
        <f t="shared" si="29"/>
        <v>0</v>
      </c>
      <c r="T78" s="123">
        <f t="shared" si="29"/>
        <v>0</v>
      </c>
      <c r="U78" s="123">
        <f t="shared" si="29"/>
        <v>0</v>
      </c>
      <c r="V78" s="123">
        <f t="shared" si="29"/>
        <v>0</v>
      </c>
      <c r="W78" s="123">
        <f t="shared" si="29"/>
        <v>0</v>
      </c>
    </row>
    <row r="80" spans="2:23" x14ac:dyDescent="0.2">
      <c r="B80" s="129" t="s">
        <v>168</v>
      </c>
      <c r="C80" s="43">
        <f>+C72</f>
        <v>0.33333333333333298</v>
      </c>
      <c r="D80" s="123">
        <f>SUM($D76:D76)*$C80</f>
        <v>0</v>
      </c>
      <c r="E80" s="123">
        <f>SUM($D76:E76)*$C80</f>
        <v>0</v>
      </c>
      <c r="F80" s="123">
        <f>SUM(D76:F76)*$C80</f>
        <v>0</v>
      </c>
      <c r="G80" s="123">
        <f t="shared" ref="G80:W80" si="30">SUM(E76:G76)*$C80</f>
        <v>0</v>
      </c>
      <c r="H80" s="123">
        <f t="shared" si="30"/>
        <v>0</v>
      </c>
      <c r="I80" s="123">
        <f t="shared" si="30"/>
        <v>0</v>
      </c>
      <c r="J80" s="123">
        <f t="shared" si="30"/>
        <v>0</v>
      </c>
      <c r="K80" s="123">
        <f t="shared" si="30"/>
        <v>0</v>
      </c>
      <c r="L80" s="123">
        <f t="shared" si="30"/>
        <v>0</v>
      </c>
      <c r="M80" s="123">
        <f t="shared" si="30"/>
        <v>0</v>
      </c>
      <c r="N80" s="123">
        <f t="shared" si="30"/>
        <v>0</v>
      </c>
      <c r="O80" s="123">
        <f t="shared" si="30"/>
        <v>0</v>
      </c>
      <c r="P80" s="123">
        <f t="shared" si="30"/>
        <v>0</v>
      </c>
      <c r="Q80" s="123">
        <f t="shared" si="30"/>
        <v>0</v>
      </c>
      <c r="R80" s="123">
        <f t="shared" si="30"/>
        <v>0</v>
      </c>
      <c r="S80" s="123">
        <f t="shared" si="30"/>
        <v>0</v>
      </c>
      <c r="T80" s="123">
        <f t="shared" si="30"/>
        <v>0</v>
      </c>
      <c r="U80" s="123">
        <f t="shared" si="30"/>
        <v>0</v>
      </c>
      <c r="V80" s="123">
        <f t="shared" si="30"/>
        <v>0</v>
      </c>
      <c r="W80" s="123">
        <f t="shared" si="30"/>
        <v>0</v>
      </c>
    </row>
    <row r="82" spans="2:23" x14ac:dyDescent="0.2">
      <c r="B82" s="41" t="s">
        <v>169</v>
      </c>
      <c r="D82" s="123">
        <f>+D78-D80</f>
        <v>0</v>
      </c>
      <c r="E82" s="123">
        <f t="shared" ref="E82:W82" si="31">+E78-E80</f>
        <v>0</v>
      </c>
      <c r="F82" s="123">
        <f t="shared" si="31"/>
        <v>0</v>
      </c>
      <c r="G82" s="123">
        <f t="shared" si="31"/>
        <v>0</v>
      </c>
      <c r="H82" s="123">
        <f t="shared" si="31"/>
        <v>0</v>
      </c>
      <c r="I82" s="123">
        <f t="shared" si="31"/>
        <v>0</v>
      </c>
      <c r="J82" s="123">
        <f t="shared" si="31"/>
        <v>0</v>
      </c>
      <c r="K82" s="123">
        <f t="shared" si="31"/>
        <v>0</v>
      </c>
      <c r="L82" s="123">
        <f t="shared" si="31"/>
        <v>0</v>
      </c>
      <c r="M82" s="123">
        <f t="shared" si="31"/>
        <v>0</v>
      </c>
      <c r="N82" s="123">
        <f t="shared" si="31"/>
        <v>0</v>
      </c>
      <c r="O82" s="123">
        <f t="shared" si="31"/>
        <v>0</v>
      </c>
      <c r="P82" s="123">
        <f t="shared" si="31"/>
        <v>0</v>
      </c>
      <c r="Q82" s="123">
        <f t="shared" si="31"/>
        <v>0</v>
      </c>
      <c r="R82" s="123">
        <f t="shared" si="31"/>
        <v>0</v>
      </c>
      <c r="S82" s="123">
        <f t="shared" si="31"/>
        <v>0</v>
      </c>
      <c r="T82" s="123">
        <f t="shared" si="31"/>
        <v>0</v>
      </c>
      <c r="U82" s="123">
        <f t="shared" si="31"/>
        <v>0</v>
      </c>
      <c r="V82" s="123">
        <f t="shared" si="31"/>
        <v>0</v>
      </c>
      <c r="W82" s="123">
        <f t="shared" si="31"/>
        <v>0</v>
      </c>
    </row>
    <row r="86" spans="2:23" ht="25.5" x14ac:dyDescent="0.2">
      <c r="B86" s="69" t="s">
        <v>173</v>
      </c>
      <c r="C86" s="43">
        <v>0.05</v>
      </c>
    </row>
    <row r="87" spans="2:23" x14ac:dyDescent="0.2">
      <c r="B87" s="129" t="s">
        <v>164</v>
      </c>
      <c r="E87" s="123">
        <f>+D96</f>
        <v>0</v>
      </c>
      <c r="F87" s="123">
        <f t="shared" ref="F87:W87" si="32">+E96</f>
        <v>1531679.7164210379</v>
      </c>
      <c r="G87" s="123">
        <f t="shared" si="32"/>
        <v>1861179.1648146966</v>
      </c>
      <c r="H87" s="123">
        <f t="shared" si="32"/>
        <v>2061489.8024792471</v>
      </c>
      <c r="I87" s="123">
        <f t="shared" si="32"/>
        <v>2171469.7891306966</v>
      </c>
      <c r="J87" s="123">
        <f t="shared" si="32"/>
        <v>2041343.1858085883</v>
      </c>
      <c r="K87" s="123">
        <f t="shared" si="32"/>
        <v>1911216.58248648</v>
      </c>
      <c r="L87" s="123">
        <f t="shared" si="32"/>
        <v>1781089.9791643717</v>
      </c>
      <c r="M87" s="123">
        <f t="shared" si="32"/>
        <v>1650963.3758422635</v>
      </c>
      <c r="N87" s="123">
        <f t="shared" si="32"/>
        <v>1520836.7725201552</v>
      </c>
      <c r="O87" s="123">
        <f t="shared" si="32"/>
        <v>1390710.1691980469</v>
      </c>
      <c r="P87" s="123">
        <f t="shared" si="32"/>
        <v>1260583.5658759386</v>
      </c>
      <c r="Q87" s="123">
        <f t="shared" si="32"/>
        <v>1130456.9625538304</v>
      </c>
      <c r="R87" s="123">
        <f t="shared" si="32"/>
        <v>1000330.3592317222</v>
      </c>
      <c r="S87" s="123">
        <f t="shared" si="32"/>
        <v>870203.75590961403</v>
      </c>
      <c r="T87" s="123">
        <f t="shared" si="32"/>
        <v>740077.15258750587</v>
      </c>
      <c r="U87" s="123">
        <f t="shared" si="32"/>
        <v>609950.54926539771</v>
      </c>
      <c r="V87" s="123">
        <f t="shared" si="32"/>
        <v>479823.94594328955</v>
      </c>
      <c r="W87" s="123">
        <f t="shared" si="32"/>
        <v>349697.34262118139</v>
      </c>
    </row>
    <row r="88" spans="2:23" x14ac:dyDescent="0.2">
      <c r="B88" s="70" t="s">
        <v>174</v>
      </c>
      <c r="D88" s="123">
        <f>+'Total Revenue &amp; Costs (500Ha)'!D17</f>
        <v>0</v>
      </c>
      <c r="E88" s="123">
        <f>+'Total Revenue &amp; Costs (500Ha)'!E17</f>
        <v>1612294.4383379347</v>
      </c>
      <c r="F88" s="123">
        <f>+'Total Revenue &amp; Costs (500Ha)'!F17</f>
        <v>431699.12664269004</v>
      </c>
      <c r="G88" s="123">
        <f>+'Total Revenue &amp; Costs (500Ha)'!G17</f>
        <v>318431.91148798069</v>
      </c>
      <c r="H88" s="123">
        <f>+'Total Revenue &amp; Costs (500Ha)'!H17</f>
        <v>240106.58997355765</v>
      </c>
      <c r="I88" s="123">
        <f>+'Total Revenue &amp; Costs (500Ha)'!I17</f>
        <v>0</v>
      </c>
      <c r="J88" s="123">
        <f>+'Total Revenue &amp; Costs (500Ha)'!J17</f>
        <v>0</v>
      </c>
      <c r="K88" s="123">
        <f>+'Total Revenue &amp; Costs (500Ha)'!K17</f>
        <v>0</v>
      </c>
      <c r="L88" s="123">
        <f>+'Total Revenue &amp; Costs (500Ha)'!L17</f>
        <v>0</v>
      </c>
      <c r="M88" s="123">
        <f>+'Total Revenue &amp; Costs (500Ha)'!M17</f>
        <v>0</v>
      </c>
      <c r="N88" s="123">
        <f>+'Total Revenue &amp; Costs (500Ha)'!N17</f>
        <v>0</v>
      </c>
      <c r="O88" s="123">
        <f>+'Total Revenue &amp; Costs (500Ha)'!O17</f>
        <v>0</v>
      </c>
      <c r="P88" s="123">
        <f>+'Total Revenue &amp; Costs (500Ha)'!P17</f>
        <v>0</v>
      </c>
      <c r="Q88" s="123">
        <f>+'Total Revenue &amp; Costs (500Ha)'!Q17</f>
        <v>0</v>
      </c>
      <c r="R88" s="123">
        <f>+'Total Revenue &amp; Costs (500Ha)'!R17</f>
        <v>0</v>
      </c>
      <c r="S88" s="123">
        <f>+'Total Revenue &amp; Costs (500Ha)'!S17</f>
        <v>0</v>
      </c>
      <c r="T88" s="123">
        <f>+'Total Revenue &amp; Costs (500Ha)'!T17</f>
        <v>0</v>
      </c>
      <c r="U88" s="123">
        <f>+'Total Revenue &amp; Costs (500Ha)'!U17</f>
        <v>0</v>
      </c>
      <c r="V88" s="123">
        <f>+'Total Revenue &amp; Costs (500Ha)'!V17</f>
        <v>0</v>
      </c>
      <c r="W88" s="123">
        <f>+'Total Revenue &amp; Costs (500Ha)'!W17</f>
        <v>0</v>
      </c>
    </row>
    <row r="90" spans="2:23" x14ac:dyDescent="0.2">
      <c r="B90" s="129" t="s">
        <v>165</v>
      </c>
      <c r="D90" s="123">
        <f t="shared" ref="D90:W90" si="33">SUM(D88:D89)</f>
        <v>0</v>
      </c>
      <c r="E90" s="123">
        <f t="shared" si="33"/>
        <v>1612294.4383379347</v>
      </c>
      <c r="F90" s="123">
        <f t="shared" si="33"/>
        <v>431699.12664269004</v>
      </c>
      <c r="G90" s="123">
        <f t="shared" si="33"/>
        <v>318431.91148798069</v>
      </c>
      <c r="H90" s="123">
        <f t="shared" si="33"/>
        <v>240106.58997355765</v>
      </c>
      <c r="I90" s="123">
        <f t="shared" si="33"/>
        <v>0</v>
      </c>
      <c r="J90" s="123">
        <f t="shared" si="33"/>
        <v>0</v>
      </c>
      <c r="K90" s="123">
        <f t="shared" si="33"/>
        <v>0</v>
      </c>
      <c r="L90" s="123">
        <f t="shared" si="33"/>
        <v>0</v>
      </c>
      <c r="M90" s="123">
        <f t="shared" si="33"/>
        <v>0</v>
      </c>
      <c r="N90" s="123">
        <f t="shared" si="33"/>
        <v>0</v>
      </c>
      <c r="O90" s="123">
        <f t="shared" si="33"/>
        <v>0</v>
      </c>
      <c r="P90" s="123">
        <f t="shared" si="33"/>
        <v>0</v>
      </c>
      <c r="Q90" s="123">
        <f t="shared" si="33"/>
        <v>0</v>
      </c>
      <c r="R90" s="123">
        <f t="shared" si="33"/>
        <v>0</v>
      </c>
      <c r="S90" s="123">
        <f t="shared" si="33"/>
        <v>0</v>
      </c>
      <c r="T90" s="123">
        <f t="shared" si="33"/>
        <v>0</v>
      </c>
      <c r="U90" s="123">
        <f t="shared" si="33"/>
        <v>0</v>
      </c>
      <c r="V90" s="123">
        <f t="shared" si="33"/>
        <v>0</v>
      </c>
      <c r="W90" s="123">
        <f t="shared" si="33"/>
        <v>0</v>
      </c>
    </row>
    <row r="91" spans="2:23" x14ac:dyDescent="0.2">
      <c r="B91" s="129" t="s">
        <v>166</v>
      </c>
    </row>
    <row r="92" spans="2:23" x14ac:dyDescent="0.2">
      <c r="B92" s="129" t="s">
        <v>167</v>
      </c>
      <c r="D92" s="123">
        <f t="shared" ref="D92:W92" si="34">+D87+D90-D91</f>
        <v>0</v>
      </c>
      <c r="E92" s="123">
        <f t="shared" si="34"/>
        <v>1612294.4383379347</v>
      </c>
      <c r="F92" s="123">
        <f t="shared" si="34"/>
        <v>1963378.843063728</v>
      </c>
      <c r="G92" s="123">
        <f t="shared" si="34"/>
        <v>2179611.0763026774</v>
      </c>
      <c r="H92" s="123">
        <f t="shared" si="34"/>
        <v>2301596.3924528048</v>
      </c>
      <c r="I92" s="123">
        <f t="shared" si="34"/>
        <v>2171469.7891306966</v>
      </c>
      <c r="J92" s="123">
        <f t="shared" si="34"/>
        <v>2041343.1858085883</v>
      </c>
      <c r="K92" s="123">
        <f t="shared" si="34"/>
        <v>1911216.58248648</v>
      </c>
      <c r="L92" s="123">
        <f t="shared" si="34"/>
        <v>1781089.9791643717</v>
      </c>
      <c r="M92" s="123">
        <f t="shared" si="34"/>
        <v>1650963.3758422635</v>
      </c>
      <c r="N92" s="123">
        <f t="shared" si="34"/>
        <v>1520836.7725201552</v>
      </c>
      <c r="O92" s="123">
        <f t="shared" si="34"/>
        <v>1390710.1691980469</v>
      </c>
      <c r="P92" s="123">
        <f t="shared" si="34"/>
        <v>1260583.5658759386</v>
      </c>
      <c r="Q92" s="123">
        <f t="shared" si="34"/>
        <v>1130456.9625538304</v>
      </c>
      <c r="R92" s="123">
        <f t="shared" si="34"/>
        <v>1000330.3592317222</v>
      </c>
      <c r="S92" s="123">
        <f t="shared" si="34"/>
        <v>870203.75590961403</v>
      </c>
      <c r="T92" s="123">
        <f t="shared" si="34"/>
        <v>740077.15258750587</v>
      </c>
      <c r="U92" s="123">
        <f t="shared" si="34"/>
        <v>609950.54926539771</v>
      </c>
      <c r="V92" s="123">
        <f t="shared" si="34"/>
        <v>479823.94594328955</v>
      </c>
      <c r="W92" s="123">
        <f t="shared" si="34"/>
        <v>349697.34262118139</v>
      </c>
    </row>
    <row r="94" spans="2:23" x14ac:dyDescent="0.2">
      <c r="B94" s="129" t="s">
        <v>175</v>
      </c>
      <c r="C94" s="43">
        <f>+C86</f>
        <v>0.05</v>
      </c>
      <c r="D94" s="123">
        <f>SUM($D90:D90)*$C94</f>
        <v>0</v>
      </c>
      <c r="E94" s="123">
        <f>SUM($D90:E90)*$C94</f>
        <v>80614.721916896742</v>
      </c>
      <c r="F94" s="123">
        <f>SUM($D90:F90)*$C94</f>
        <v>102199.67824903125</v>
      </c>
      <c r="G94" s="123">
        <f>SUM($D90:G90)*$C94</f>
        <v>118121.27382343028</v>
      </c>
      <c r="H94" s="123">
        <f>SUM($D90:H90)*$C94</f>
        <v>130126.60332210816</v>
      </c>
      <c r="I94" s="123">
        <f>SUM($D90:I90)*$C94</f>
        <v>130126.60332210816</v>
      </c>
      <c r="J94" s="123">
        <f>SUM($D90:J90)*$C94</f>
        <v>130126.60332210816</v>
      </c>
      <c r="K94" s="123">
        <f>SUM($D90:K90)*$C94</f>
        <v>130126.60332210816</v>
      </c>
      <c r="L94" s="123">
        <f>SUM($D90:L90)*$C94</f>
        <v>130126.60332210816</v>
      </c>
      <c r="M94" s="123">
        <f>SUM($D90:M90)*$C94</f>
        <v>130126.60332210816</v>
      </c>
      <c r="N94" s="123">
        <f>SUM($D90:N90)*$C94</f>
        <v>130126.60332210816</v>
      </c>
      <c r="O94" s="123">
        <f>SUM($D90:O90)*$C94</f>
        <v>130126.60332210816</v>
      </c>
      <c r="P94" s="123">
        <f>SUM($D90:P90)*$C94</f>
        <v>130126.60332210816</v>
      </c>
      <c r="Q94" s="123">
        <f>SUM($D90:Q90)*$C94</f>
        <v>130126.60332210816</v>
      </c>
      <c r="R94" s="123">
        <f>SUM($D90:R90)*$C94</f>
        <v>130126.60332210816</v>
      </c>
      <c r="S94" s="123">
        <f>SUM($D90:S90)*$C94</f>
        <v>130126.60332210816</v>
      </c>
      <c r="T94" s="123">
        <f>SUM($D90:T90)*$C94</f>
        <v>130126.60332210816</v>
      </c>
      <c r="U94" s="123">
        <f>SUM($D90:U90)*$C94</f>
        <v>130126.60332210816</v>
      </c>
      <c r="V94" s="123">
        <f>SUM($D90:V90)*$C94</f>
        <v>130126.60332210816</v>
      </c>
      <c r="W94" s="123">
        <f>SUM($D90:W90)*$C94</f>
        <v>130126.60332210816</v>
      </c>
    </row>
    <row r="96" spans="2:23" x14ac:dyDescent="0.2">
      <c r="B96" s="41" t="s">
        <v>169</v>
      </c>
      <c r="D96" s="123">
        <f>+D92-D94</f>
        <v>0</v>
      </c>
      <c r="E96" s="123">
        <f t="shared" ref="E96:W96" si="35">+E92-E94</f>
        <v>1531679.7164210379</v>
      </c>
      <c r="F96" s="123">
        <f t="shared" si="35"/>
        <v>1861179.1648146966</v>
      </c>
      <c r="G96" s="123">
        <f t="shared" si="35"/>
        <v>2061489.8024792471</v>
      </c>
      <c r="H96" s="123">
        <f t="shared" si="35"/>
        <v>2171469.7891306966</v>
      </c>
      <c r="I96" s="123">
        <f t="shared" si="35"/>
        <v>2041343.1858085883</v>
      </c>
      <c r="J96" s="123">
        <f t="shared" si="35"/>
        <v>1911216.58248648</v>
      </c>
      <c r="K96" s="123">
        <f t="shared" si="35"/>
        <v>1781089.9791643717</v>
      </c>
      <c r="L96" s="123">
        <f t="shared" si="35"/>
        <v>1650963.3758422635</v>
      </c>
      <c r="M96" s="123">
        <f t="shared" si="35"/>
        <v>1520836.7725201552</v>
      </c>
      <c r="N96" s="123">
        <f t="shared" si="35"/>
        <v>1390710.1691980469</v>
      </c>
      <c r="O96" s="123">
        <f t="shared" si="35"/>
        <v>1260583.5658759386</v>
      </c>
      <c r="P96" s="123">
        <f t="shared" si="35"/>
        <v>1130456.9625538304</v>
      </c>
      <c r="Q96" s="123">
        <f t="shared" si="35"/>
        <v>1000330.3592317222</v>
      </c>
      <c r="R96" s="123">
        <f t="shared" si="35"/>
        <v>870203.75590961403</v>
      </c>
      <c r="S96" s="123">
        <f t="shared" si="35"/>
        <v>740077.15258750587</v>
      </c>
      <c r="T96" s="123">
        <f t="shared" si="35"/>
        <v>609950.54926539771</v>
      </c>
      <c r="U96" s="123">
        <f t="shared" si="35"/>
        <v>479823.94594328955</v>
      </c>
      <c r="V96" s="123">
        <f t="shared" si="35"/>
        <v>349697.34262118139</v>
      </c>
      <c r="W96" s="123">
        <f t="shared" si="35"/>
        <v>219570.73929907323</v>
      </c>
    </row>
    <row r="99" spans="2:23" x14ac:dyDescent="0.2">
      <c r="B99" s="129" t="s">
        <v>176</v>
      </c>
      <c r="D99" s="123">
        <f>+D18</f>
        <v>0</v>
      </c>
      <c r="E99" s="123">
        <f t="shared" ref="E99:W99" si="36">+E18</f>
        <v>0</v>
      </c>
      <c r="F99" s="123">
        <f t="shared" si="36"/>
        <v>0</v>
      </c>
      <c r="G99" s="123">
        <f t="shared" si="36"/>
        <v>0</v>
      </c>
      <c r="H99" s="123">
        <f t="shared" si="36"/>
        <v>0</v>
      </c>
      <c r="I99" s="123">
        <f t="shared" si="36"/>
        <v>0</v>
      </c>
      <c r="J99" s="123">
        <f t="shared" si="36"/>
        <v>0</v>
      </c>
      <c r="K99" s="123">
        <f t="shared" si="36"/>
        <v>0</v>
      </c>
      <c r="L99" s="123">
        <f t="shared" si="36"/>
        <v>0</v>
      </c>
      <c r="M99" s="123">
        <f t="shared" si="36"/>
        <v>0</v>
      </c>
      <c r="N99" s="123">
        <f t="shared" si="36"/>
        <v>0</v>
      </c>
      <c r="O99" s="123">
        <f t="shared" si="36"/>
        <v>0</v>
      </c>
      <c r="P99" s="123">
        <f t="shared" si="36"/>
        <v>0</v>
      </c>
      <c r="Q99" s="123">
        <f t="shared" si="36"/>
        <v>0</v>
      </c>
      <c r="R99" s="123">
        <f t="shared" si="36"/>
        <v>0</v>
      </c>
      <c r="S99" s="123">
        <f t="shared" si="36"/>
        <v>0</v>
      </c>
      <c r="T99" s="123">
        <f t="shared" si="36"/>
        <v>0</v>
      </c>
      <c r="U99" s="123">
        <f t="shared" si="36"/>
        <v>0</v>
      </c>
      <c r="V99" s="123">
        <f t="shared" si="36"/>
        <v>0</v>
      </c>
      <c r="W99" s="123">
        <f t="shared" si="36"/>
        <v>0</v>
      </c>
    </row>
    <row r="100" spans="2:23" x14ac:dyDescent="0.2">
      <c r="B100" s="129" t="s">
        <v>179</v>
      </c>
      <c r="D100" s="123">
        <f t="shared" ref="D100:W100" si="37">-(D14)</f>
        <v>0</v>
      </c>
      <c r="E100" s="123">
        <f t="shared" si="37"/>
        <v>0</v>
      </c>
      <c r="F100" s="123">
        <f t="shared" si="37"/>
        <v>0</v>
      </c>
      <c r="G100" s="123">
        <f t="shared" si="37"/>
        <v>0</v>
      </c>
      <c r="H100" s="123">
        <f t="shared" si="37"/>
        <v>64200</v>
      </c>
      <c r="I100" s="123">
        <f t="shared" si="37"/>
        <v>128400</v>
      </c>
      <c r="J100" s="123">
        <f t="shared" si="37"/>
        <v>192600</v>
      </c>
      <c r="K100" s="123">
        <f t="shared" si="37"/>
        <v>240750</v>
      </c>
      <c r="L100" s="123">
        <f t="shared" si="37"/>
        <v>272850</v>
      </c>
      <c r="M100" s="123">
        <f t="shared" si="37"/>
        <v>304950</v>
      </c>
      <c r="N100" s="123">
        <f t="shared" si="37"/>
        <v>304950</v>
      </c>
      <c r="O100" s="123">
        <f t="shared" si="37"/>
        <v>304950</v>
      </c>
      <c r="P100" s="123">
        <f t="shared" si="37"/>
        <v>304950</v>
      </c>
      <c r="Q100" s="123">
        <f t="shared" si="37"/>
        <v>304950</v>
      </c>
      <c r="R100" s="123">
        <f t="shared" si="37"/>
        <v>304950</v>
      </c>
      <c r="S100" s="123">
        <f t="shared" si="37"/>
        <v>-2697532.6437499998</v>
      </c>
      <c r="T100" s="123">
        <f t="shared" si="37"/>
        <v>0</v>
      </c>
      <c r="U100" s="123">
        <f t="shared" si="37"/>
        <v>0</v>
      </c>
      <c r="V100" s="123">
        <f t="shared" si="37"/>
        <v>0</v>
      </c>
      <c r="W100" s="123">
        <f t="shared" si="37"/>
        <v>0</v>
      </c>
    </row>
    <row r="101" spans="2:23" x14ac:dyDescent="0.2">
      <c r="B101" s="129" t="s">
        <v>177</v>
      </c>
      <c r="D101" s="123">
        <f>+D40+D54+D67+D80</f>
        <v>0</v>
      </c>
      <c r="E101" s="123">
        <f t="shared" ref="E101:W101" si="38">+E40+E54+E67+E80</f>
        <v>0</v>
      </c>
      <c r="F101" s="123">
        <f t="shared" si="38"/>
        <v>0</v>
      </c>
      <c r="G101" s="123">
        <f t="shared" si="38"/>
        <v>0</v>
      </c>
      <c r="H101" s="123">
        <f t="shared" si="38"/>
        <v>0</v>
      </c>
      <c r="I101" s="123">
        <f t="shared" si="38"/>
        <v>0</v>
      </c>
      <c r="J101" s="123">
        <f t="shared" si="38"/>
        <v>0</v>
      </c>
      <c r="K101" s="123">
        <f t="shared" si="38"/>
        <v>0</v>
      </c>
      <c r="L101" s="123">
        <f t="shared" si="38"/>
        <v>0</v>
      </c>
      <c r="M101" s="123">
        <f t="shared" si="38"/>
        <v>0</v>
      </c>
      <c r="N101" s="123">
        <f t="shared" si="38"/>
        <v>0</v>
      </c>
      <c r="O101" s="123">
        <f t="shared" si="38"/>
        <v>0</v>
      </c>
      <c r="P101" s="123">
        <f t="shared" si="38"/>
        <v>0</v>
      </c>
      <c r="Q101" s="123">
        <f t="shared" si="38"/>
        <v>0</v>
      </c>
      <c r="R101" s="123">
        <f t="shared" si="38"/>
        <v>0</v>
      </c>
      <c r="S101" s="123">
        <f t="shared" si="38"/>
        <v>0</v>
      </c>
      <c r="T101" s="123">
        <f t="shared" si="38"/>
        <v>0</v>
      </c>
      <c r="U101" s="123">
        <f t="shared" si="38"/>
        <v>0</v>
      </c>
      <c r="V101" s="123">
        <f t="shared" si="38"/>
        <v>0</v>
      </c>
      <c r="W101" s="123">
        <f t="shared" si="38"/>
        <v>0</v>
      </c>
    </row>
    <row r="102" spans="2:23" x14ac:dyDescent="0.2">
      <c r="B102" s="129" t="s">
        <v>178</v>
      </c>
      <c r="D102" s="123">
        <f>+D94</f>
        <v>0</v>
      </c>
      <c r="E102" s="123">
        <f t="shared" ref="E102:W102" si="39">+E94</f>
        <v>80614.721916896742</v>
      </c>
      <c r="F102" s="123">
        <f t="shared" si="39"/>
        <v>102199.67824903125</v>
      </c>
      <c r="G102" s="123">
        <f t="shared" si="39"/>
        <v>118121.27382343028</v>
      </c>
      <c r="H102" s="123">
        <f t="shared" si="39"/>
        <v>130126.60332210816</v>
      </c>
      <c r="I102" s="123">
        <f t="shared" si="39"/>
        <v>130126.60332210816</v>
      </c>
      <c r="J102" s="123">
        <f t="shared" si="39"/>
        <v>130126.60332210816</v>
      </c>
      <c r="K102" s="123">
        <f t="shared" si="39"/>
        <v>130126.60332210816</v>
      </c>
      <c r="L102" s="123">
        <f t="shared" si="39"/>
        <v>130126.60332210816</v>
      </c>
      <c r="M102" s="123">
        <f t="shared" si="39"/>
        <v>130126.60332210816</v>
      </c>
      <c r="N102" s="123">
        <f t="shared" si="39"/>
        <v>130126.60332210816</v>
      </c>
      <c r="O102" s="123">
        <f t="shared" si="39"/>
        <v>130126.60332210816</v>
      </c>
      <c r="P102" s="123">
        <f t="shared" si="39"/>
        <v>130126.60332210816</v>
      </c>
      <c r="Q102" s="123">
        <f t="shared" si="39"/>
        <v>130126.60332210816</v>
      </c>
      <c r="R102" s="123">
        <f t="shared" si="39"/>
        <v>130126.60332210816</v>
      </c>
      <c r="S102" s="123">
        <f t="shared" si="39"/>
        <v>130126.60332210816</v>
      </c>
      <c r="T102" s="123">
        <f t="shared" si="39"/>
        <v>130126.60332210816</v>
      </c>
      <c r="U102" s="123">
        <f t="shared" si="39"/>
        <v>130126.60332210816</v>
      </c>
      <c r="V102" s="123">
        <f t="shared" si="39"/>
        <v>130126.60332210816</v>
      </c>
      <c r="W102" s="123">
        <f t="shared" si="39"/>
        <v>130126.60332210816</v>
      </c>
    </row>
    <row r="104" spans="2:23" x14ac:dyDescent="0.2">
      <c r="B104" s="129" t="s">
        <v>86</v>
      </c>
      <c r="D104" s="123">
        <f>SUM(D99:D102)</f>
        <v>0</v>
      </c>
      <c r="E104" s="123">
        <f t="shared" ref="E104:W104" si="40">SUM(E99:E102)</f>
        <v>80614.721916896742</v>
      </c>
      <c r="F104" s="123">
        <f t="shared" si="40"/>
        <v>102199.67824903125</v>
      </c>
      <c r="G104" s="123">
        <f t="shared" si="40"/>
        <v>118121.27382343028</v>
      </c>
      <c r="H104" s="123">
        <f t="shared" si="40"/>
        <v>194326.60332210816</v>
      </c>
      <c r="I104" s="123">
        <f t="shared" si="40"/>
        <v>258526.60332210816</v>
      </c>
      <c r="J104" s="123">
        <f t="shared" si="40"/>
        <v>322726.60332210816</v>
      </c>
      <c r="K104" s="123">
        <f t="shared" si="40"/>
        <v>370876.60332210816</v>
      </c>
      <c r="L104" s="123">
        <f t="shared" si="40"/>
        <v>402976.60332210816</v>
      </c>
      <c r="M104" s="123">
        <f t="shared" si="40"/>
        <v>435076.60332210816</v>
      </c>
      <c r="N104" s="123">
        <f t="shared" si="40"/>
        <v>435076.60332210816</v>
      </c>
      <c r="O104" s="123">
        <f t="shared" si="40"/>
        <v>435076.60332210816</v>
      </c>
      <c r="P104" s="123">
        <f t="shared" si="40"/>
        <v>435076.60332210816</v>
      </c>
      <c r="Q104" s="123">
        <f t="shared" si="40"/>
        <v>435076.60332210816</v>
      </c>
      <c r="R104" s="123">
        <f t="shared" si="40"/>
        <v>435076.60332210816</v>
      </c>
      <c r="S104" s="123">
        <f t="shared" si="40"/>
        <v>-2567406.0404278915</v>
      </c>
      <c r="T104" s="123">
        <f t="shared" si="40"/>
        <v>130126.60332210816</v>
      </c>
      <c r="U104" s="123">
        <f t="shared" si="40"/>
        <v>130126.60332210816</v>
      </c>
      <c r="V104" s="123">
        <f t="shared" si="40"/>
        <v>130126.60332210816</v>
      </c>
      <c r="W104" s="123">
        <f t="shared" si="40"/>
        <v>130126.60332210816</v>
      </c>
    </row>
    <row r="106" spans="2:23" x14ac:dyDescent="0.2">
      <c r="F106" s="1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L84"/>
  <sheetViews>
    <sheetView topLeftCell="A70" workbookViewId="0">
      <selection activeCell="E89" sqref="E89"/>
    </sheetView>
  </sheetViews>
  <sheetFormatPr defaultRowHeight="15" x14ac:dyDescent="0.25"/>
  <cols>
    <col min="1" max="1" width="2.7109375" customWidth="1"/>
    <col min="2" max="2" width="43.7109375" customWidth="1"/>
    <col min="3" max="8" width="15.5703125" customWidth="1"/>
    <col min="9" max="9" width="17" customWidth="1"/>
    <col min="10" max="16" width="15.5703125" customWidth="1"/>
  </cols>
  <sheetData>
    <row r="1" spans="2:7" ht="15.75" thickBot="1" x14ac:dyDescent="0.3"/>
    <row r="2" spans="2:7" ht="15.75" thickBot="1" x14ac:dyDescent="0.3">
      <c r="B2" s="132" t="s">
        <v>406</v>
      </c>
      <c r="C2" s="133"/>
      <c r="D2" s="133"/>
      <c r="E2" s="133"/>
      <c r="F2" s="133"/>
      <c r="G2" s="134"/>
    </row>
    <row r="4" spans="2:7" x14ac:dyDescent="0.25">
      <c r="B4" s="1" t="s">
        <v>530</v>
      </c>
      <c r="C4" s="129" t="s">
        <v>535</v>
      </c>
      <c r="D4" s="129"/>
      <c r="E4" s="129"/>
    </row>
    <row r="5" spans="2:7" x14ac:dyDescent="0.25">
      <c r="B5" s="129" t="s">
        <v>528</v>
      </c>
      <c r="C5" s="36">
        <f>G24</f>
        <v>91665</v>
      </c>
      <c r="D5" s="129" t="s">
        <v>413</v>
      </c>
    </row>
    <row r="6" spans="2:7" x14ac:dyDescent="0.25">
      <c r="B6" s="129" t="s">
        <v>325</v>
      </c>
      <c r="C6" s="130" t="s">
        <v>326</v>
      </c>
      <c r="D6" s="129" t="s">
        <v>327</v>
      </c>
    </row>
    <row r="7" spans="2:7" x14ac:dyDescent="0.25">
      <c r="B7" s="129" t="s">
        <v>526</v>
      </c>
      <c r="C7" s="66">
        <v>14260</v>
      </c>
      <c r="D7" s="129" t="s">
        <v>328</v>
      </c>
    </row>
    <row r="8" spans="2:7" x14ac:dyDescent="0.25">
      <c r="B8" s="129" t="s">
        <v>329</v>
      </c>
      <c r="C8" s="129">
        <v>2</v>
      </c>
      <c r="D8" s="129" t="s">
        <v>115</v>
      </c>
    </row>
    <row r="9" spans="2:7" x14ac:dyDescent="0.25">
      <c r="B9" s="129" t="s">
        <v>525</v>
      </c>
      <c r="C9" s="122">
        <f>(C5/C7)+C8</f>
        <v>8.4281206171107996</v>
      </c>
      <c r="D9" s="129" t="s">
        <v>115</v>
      </c>
    </row>
    <row r="10" spans="2:7" x14ac:dyDescent="0.25">
      <c r="B10" s="129" t="s">
        <v>154</v>
      </c>
      <c r="C10" s="61">
        <f>C28</f>
        <v>148.03897499999997</v>
      </c>
      <c r="D10" s="129" t="s">
        <v>330</v>
      </c>
    </row>
    <row r="11" spans="2:7" x14ac:dyDescent="0.25">
      <c r="B11" s="129" t="s">
        <v>527</v>
      </c>
      <c r="C11" s="124">
        <f>C5/C24</f>
        <v>500.00000000000006</v>
      </c>
      <c r="D11" s="129" t="s">
        <v>115</v>
      </c>
    </row>
    <row r="12" spans="2:7" x14ac:dyDescent="0.25">
      <c r="B12" s="129"/>
      <c r="C12" s="50"/>
      <c r="D12" s="129"/>
      <c r="E12" s="129"/>
    </row>
    <row r="13" spans="2:7" x14ac:dyDescent="0.25">
      <c r="B13" s="95" t="s">
        <v>534</v>
      </c>
      <c r="C13" s="96"/>
      <c r="D13" s="19"/>
      <c r="E13" s="19"/>
      <c r="G13" s="150" t="s">
        <v>533</v>
      </c>
    </row>
    <row r="14" spans="2:7" x14ac:dyDescent="0.25">
      <c r="B14" s="17" t="s">
        <v>536</v>
      </c>
      <c r="C14" s="106">
        <v>200</v>
      </c>
      <c r="D14" s="129"/>
      <c r="E14" s="18"/>
      <c r="G14" s="195">
        <v>100000</v>
      </c>
    </row>
    <row r="15" spans="2:7" x14ac:dyDescent="0.25">
      <c r="B15" s="17" t="s">
        <v>407</v>
      </c>
      <c r="C15" s="106">
        <f>C14*D15</f>
        <v>10</v>
      </c>
      <c r="D15" s="51">
        <v>0.05</v>
      </c>
      <c r="E15" s="18"/>
      <c r="G15" s="193">
        <f>G14*D15</f>
        <v>5000</v>
      </c>
    </row>
    <row r="16" spans="2:7" x14ac:dyDescent="0.25">
      <c r="B16" s="17" t="s">
        <v>119</v>
      </c>
      <c r="C16" s="106">
        <f>C14+C15</f>
        <v>210</v>
      </c>
      <c r="D16" s="105"/>
      <c r="E16" s="18"/>
      <c r="G16" s="193">
        <f>G14+G15</f>
        <v>105000</v>
      </c>
    </row>
    <row r="17" spans="2:7" x14ac:dyDescent="0.25">
      <c r="B17" s="17" t="s">
        <v>120</v>
      </c>
      <c r="C17" s="106">
        <f>D17*C16</f>
        <v>6.3</v>
      </c>
      <c r="D17" s="51">
        <v>0.03</v>
      </c>
      <c r="E17" s="18"/>
      <c r="G17" s="193">
        <f>D17*G16</f>
        <v>3150</v>
      </c>
    </row>
    <row r="18" spans="2:7" x14ac:dyDescent="0.25">
      <c r="B18" s="17" t="s">
        <v>369</v>
      </c>
      <c r="C18" s="106">
        <v>0</v>
      </c>
      <c r="D18" s="51" t="s">
        <v>408</v>
      </c>
      <c r="E18" s="18"/>
      <c r="G18" s="193">
        <v>0</v>
      </c>
    </row>
    <row r="19" spans="2:7" x14ac:dyDescent="0.25">
      <c r="B19" s="17" t="s">
        <v>370</v>
      </c>
      <c r="C19" s="106">
        <f>C16-C17-C18</f>
        <v>203.7</v>
      </c>
      <c r="D19" s="105" t="s">
        <v>118</v>
      </c>
      <c r="E19" s="90"/>
      <c r="G19" s="193">
        <f>G16-G17-G18</f>
        <v>101850</v>
      </c>
    </row>
    <row r="20" spans="2:7" x14ac:dyDescent="0.25">
      <c r="B20" s="17" t="s">
        <v>121</v>
      </c>
      <c r="C20" s="106">
        <f>C19</f>
        <v>203.7</v>
      </c>
      <c r="D20" s="105"/>
      <c r="E20" s="90"/>
      <c r="G20" s="193">
        <f>G19</f>
        <v>101850</v>
      </c>
    </row>
    <row r="21" spans="2:7" x14ac:dyDescent="0.25">
      <c r="B21" s="17" t="s">
        <v>331</v>
      </c>
      <c r="C21" s="106">
        <v>0</v>
      </c>
      <c r="D21" s="51" t="s">
        <v>409</v>
      </c>
      <c r="E21" s="90"/>
      <c r="G21" s="193">
        <v>0</v>
      </c>
    </row>
    <row r="22" spans="2:7" x14ac:dyDescent="0.25">
      <c r="B22" s="17" t="s">
        <v>410</v>
      </c>
      <c r="C22" s="106">
        <f>C20+C21</f>
        <v>203.7</v>
      </c>
      <c r="D22" s="105"/>
      <c r="E22" s="90"/>
      <c r="G22" s="193">
        <f>G20+G21</f>
        <v>101850</v>
      </c>
    </row>
    <row r="23" spans="2:7" x14ac:dyDescent="0.25">
      <c r="B23" s="17" t="s">
        <v>122</v>
      </c>
      <c r="C23" s="106">
        <f>D23*C22</f>
        <v>20.37</v>
      </c>
      <c r="D23" s="51">
        <v>0.1</v>
      </c>
      <c r="E23" s="90"/>
      <c r="G23" s="193">
        <f>D23*G22</f>
        <v>10185</v>
      </c>
    </row>
    <row r="24" spans="2:7" x14ac:dyDescent="0.25">
      <c r="B24" s="17" t="s">
        <v>123</v>
      </c>
      <c r="C24" s="106">
        <f>C22-C23</f>
        <v>183.32999999999998</v>
      </c>
      <c r="D24" s="22"/>
      <c r="E24" s="90"/>
      <c r="G24" s="193">
        <f>G22-G23</f>
        <v>91665</v>
      </c>
    </row>
    <row r="25" spans="2:7" x14ac:dyDescent="0.25">
      <c r="B25" s="17" t="s">
        <v>124</v>
      </c>
      <c r="C25" s="106">
        <f>D25*C24</f>
        <v>27.499499999999998</v>
      </c>
      <c r="D25" s="51">
        <v>0.15</v>
      </c>
      <c r="E25" s="90"/>
      <c r="G25" s="193">
        <f>D25*G24</f>
        <v>13749.75</v>
      </c>
    </row>
    <row r="26" spans="2:7" x14ac:dyDescent="0.25">
      <c r="B26" s="17" t="s">
        <v>411</v>
      </c>
      <c r="C26" s="106">
        <f>C24-C25</f>
        <v>155.83049999999997</v>
      </c>
      <c r="D26" s="51"/>
      <c r="E26" s="90"/>
      <c r="G26" s="193">
        <f>G24-G25</f>
        <v>77915.25</v>
      </c>
    </row>
    <row r="27" spans="2:7" x14ac:dyDescent="0.25">
      <c r="B27" s="17" t="s">
        <v>529</v>
      </c>
      <c r="C27" s="106">
        <f>D27*C26</f>
        <v>7.7915249999999991</v>
      </c>
      <c r="D27" s="51">
        <v>0.05</v>
      </c>
      <c r="E27" s="90"/>
      <c r="G27" s="193">
        <f>D27*G26</f>
        <v>3895.7625000000003</v>
      </c>
    </row>
    <row r="28" spans="2:7" x14ac:dyDescent="0.25">
      <c r="B28" s="52" t="s">
        <v>125</v>
      </c>
      <c r="C28" s="53">
        <f>C26-C27</f>
        <v>148.03897499999997</v>
      </c>
      <c r="D28" s="19"/>
      <c r="E28" s="89"/>
      <c r="G28" s="196">
        <f>G26-G27</f>
        <v>74019.487500000003</v>
      </c>
    </row>
    <row r="29" spans="2:7" x14ac:dyDescent="0.25">
      <c r="B29" s="129"/>
      <c r="C29" s="43"/>
      <c r="D29" s="129"/>
      <c r="E29" s="129"/>
    </row>
    <row r="30" spans="2:7" x14ac:dyDescent="0.25">
      <c r="B30" s="1" t="s">
        <v>531</v>
      </c>
      <c r="C30" s="119"/>
      <c r="D30" s="118" t="s">
        <v>392</v>
      </c>
      <c r="E30" s="130"/>
      <c r="F30" s="129"/>
    </row>
    <row r="31" spans="2:7" x14ac:dyDescent="0.25">
      <c r="B31" s="129" t="s">
        <v>532</v>
      </c>
      <c r="C31" s="7" t="s">
        <v>524</v>
      </c>
      <c r="D31" s="82">
        <v>1.5</v>
      </c>
      <c r="E31" s="129"/>
      <c r="F31" s="129"/>
    </row>
    <row r="32" spans="2:7" x14ac:dyDescent="0.25">
      <c r="B32" s="129" t="s">
        <v>412</v>
      </c>
      <c r="D32" s="50">
        <v>0.01</v>
      </c>
      <c r="E32" s="129"/>
      <c r="F32" s="129"/>
    </row>
    <row r="33" spans="2:12" x14ac:dyDescent="0.25">
      <c r="B33" s="35" t="s">
        <v>391</v>
      </c>
      <c r="D33" s="82">
        <f>D31+D32</f>
        <v>1.51</v>
      </c>
      <c r="E33" s="129"/>
      <c r="F33" s="54"/>
    </row>
    <row r="34" spans="2:12" x14ac:dyDescent="0.25">
      <c r="B34" s="129"/>
      <c r="C34" s="43"/>
      <c r="D34" s="129"/>
      <c r="E34" s="129"/>
    </row>
    <row r="35" spans="2:12" x14ac:dyDescent="0.25">
      <c r="B35" s="1" t="s">
        <v>332</v>
      </c>
      <c r="C35" s="129"/>
      <c r="D35" s="129"/>
      <c r="E35" s="129"/>
      <c r="F35" s="129"/>
      <c r="G35" s="129"/>
      <c r="J35" s="192"/>
    </row>
    <row r="36" spans="2:12" x14ac:dyDescent="0.25">
      <c r="B36" s="55"/>
      <c r="C36" s="135"/>
      <c r="D36" s="136" t="s">
        <v>333</v>
      </c>
      <c r="E36" s="137"/>
      <c r="F36" s="138" t="s">
        <v>37</v>
      </c>
      <c r="G36" s="139"/>
      <c r="H36" s="198"/>
      <c r="I36" s="140" t="s">
        <v>334</v>
      </c>
      <c r="J36" s="158" t="s">
        <v>0</v>
      </c>
      <c r="K36" s="197" t="s">
        <v>101</v>
      </c>
      <c r="L36" s="199" t="s">
        <v>168</v>
      </c>
    </row>
    <row r="37" spans="2:12" x14ac:dyDescent="0.25">
      <c r="B37" s="142" t="s">
        <v>3</v>
      </c>
      <c r="C37" s="20"/>
      <c r="D37" s="33" t="s">
        <v>335</v>
      </c>
      <c r="E37" s="31" t="s">
        <v>336</v>
      </c>
      <c r="F37" s="29" t="s">
        <v>335</v>
      </c>
      <c r="G37" s="29" t="s">
        <v>336</v>
      </c>
      <c r="H37" s="158" t="s">
        <v>337</v>
      </c>
      <c r="I37" s="33" t="s">
        <v>538</v>
      </c>
      <c r="J37" s="33" t="s">
        <v>538</v>
      </c>
      <c r="K37" s="33" t="s">
        <v>538</v>
      </c>
      <c r="L37" s="200" t="s">
        <v>538</v>
      </c>
    </row>
    <row r="38" spans="2:12" x14ac:dyDescent="0.25">
      <c r="B38" s="56" t="s">
        <v>414</v>
      </c>
      <c r="C38" s="105"/>
      <c r="D38" s="143"/>
      <c r="E38" s="100"/>
      <c r="F38" s="105"/>
      <c r="G38" s="30">
        <v>1</v>
      </c>
      <c r="H38" s="193">
        <f>3*C9</f>
        <v>25.284361851332399</v>
      </c>
      <c r="I38" s="144"/>
      <c r="J38" s="195"/>
      <c r="K38" s="61">
        <f>H38*'Assumptions &amp; Costs'!D85</f>
        <v>1896.32713884993</v>
      </c>
      <c r="L38" s="210"/>
    </row>
    <row r="39" spans="2:12" x14ac:dyDescent="0.25">
      <c r="B39" s="56" t="s">
        <v>415</v>
      </c>
      <c r="C39" s="105"/>
      <c r="D39" s="143"/>
      <c r="E39" s="100"/>
      <c r="F39" s="105"/>
      <c r="G39" s="30">
        <v>1</v>
      </c>
      <c r="H39" s="193">
        <f>2*C9</f>
        <v>16.856241234221599</v>
      </c>
      <c r="I39" s="144"/>
      <c r="J39" s="193"/>
      <c r="K39" s="61">
        <f>H39*'Assumptions &amp; Costs'!D86</f>
        <v>1264.21809256662</v>
      </c>
      <c r="L39" s="211"/>
    </row>
    <row r="40" spans="2:12" x14ac:dyDescent="0.25">
      <c r="B40" s="57" t="s">
        <v>338</v>
      </c>
      <c r="C40" s="88" t="s">
        <v>416</v>
      </c>
      <c r="D40" s="144"/>
      <c r="E40" s="100"/>
      <c r="F40" s="30"/>
      <c r="G40" s="30"/>
      <c r="H40" s="194"/>
      <c r="I40" s="144"/>
      <c r="J40" s="193"/>
      <c r="K40" s="129"/>
      <c r="L40" s="211"/>
    </row>
    <row r="41" spans="2:12" x14ac:dyDescent="0.25">
      <c r="B41" s="56" t="s">
        <v>339</v>
      </c>
      <c r="C41" s="105"/>
      <c r="D41" s="145">
        <v>1000</v>
      </c>
      <c r="E41" s="100">
        <v>300</v>
      </c>
      <c r="F41" s="30">
        <v>1</v>
      </c>
      <c r="G41" s="30">
        <v>1</v>
      </c>
      <c r="H41" s="194"/>
      <c r="I41" s="144"/>
      <c r="J41" s="193">
        <f>((F41*G20/D41)+(G41*G24/E41))*'Assumptions &amp; Costs'!E76*(1+'Assumptions &amp; Costs'!C81)</f>
        <v>2341.5314999999996</v>
      </c>
      <c r="K41" s="129"/>
      <c r="L41" s="211"/>
    </row>
    <row r="42" spans="2:12" x14ac:dyDescent="0.25">
      <c r="B42" s="56" t="s">
        <v>340</v>
      </c>
      <c r="C42" s="105"/>
      <c r="D42" s="145">
        <v>1000</v>
      </c>
      <c r="E42" s="100">
        <v>300</v>
      </c>
      <c r="F42" s="30">
        <v>1</v>
      </c>
      <c r="G42" s="30">
        <v>1</v>
      </c>
      <c r="H42" s="194"/>
      <c r="I42" s="144"/>
      <c r="J42" s="193">
        <f>(F42*G20/D42)+(G42*G24/E42)*'Assumptions &amp; Costs'!E76*(1+'Assumptions &amp; Costs'!C81)</f>
        <v>1857.9986249999999</v>
      </c>
      <c r="K42" s="129"/>
      <c r="L42" s="211"/>
    </row>
    <row r="43" spans="2:12" x14ac:dyDescent="0.25">
      <c r="B43" s="56" t="s">
        <v>537</v>
      </c>
      <c r="C43" s="105"/>
      <c r="D43" s="145"/>
      <c r="E43" s="100"/>
      <c r="F43" s="30"/>
      <c r="G43" s="30"/>
      <c r="H43" s="194"/>
      <c r="I43" s="144">
        <f>D33*G14</f>
        <v>151000</v>
      </c>
      <c r="J43" s="193"/>
      <c r="K43" s="61"/>
      <c r="L43" s="211"/>
    </row>
    <row r="44" spans="2:12" x14ac:dyDescent="0.25">
      <c r="B44" s="56" t="s">
        <v>341</v>
      </c>
      <c r="C44" s="105"/>
      <c r="D44" s="145">
        <v>500</v>
      </c>
      <c r="E44" s="100">
        <v>100</v>
      </c>
      <c r="F44" s="30">
        <v>1</v>
      </c>
      <c r="G44" s="30">
        <v>1</v>
      </c>
      <c r="H44" s="194"/>
      <c r="I44" s="144"/>
      <c r="J44" s="193">
        <f>(F44*G20/D44)+(G44*G24/E44)*'Assumptions &amp; Costs'!E76*(1+'Assumptions &amp; Costs'!C81)</f>
        <v>5472.1458749999993</v>
      </c>
      <c r="K44" s="61"/>
      <c r="L44" s="211"/>
    </row>
    <row r="45" spans="2:12" x14ac:dyDescent="0.25">
      <c r="B45" s="57" t="s">
        <v>342</v>
      </c>
      <c r="C45" s="105"/>
      <c r="D45" s="145">
        <v>1500</v>
      </c>
      <c r="E45" s="146">
        <v>500</v>
      </c>
      <c r="F45" s="30">
        <v>1</v>
      </c>
      <c r="G45" s="30">
        <v>1</v>
      </c>
      <c r="H45" s="194"/>
      <c r="I45" s="144">
        <f>(G20*0.04)+(G24*0.3)</f>
        <v>31573.5</v>
      </c>
      <c r="J45" s="193">
        <f>(F45*G20/D45)+(G45*G24/E45)*'Assumptions &amp; Costs'!E76*(1+'Assumptions &amp; Costs'!C81)</f>
        <v>1121.5891750000001</v>
      </c>
      <c r="K45" s="61"/>
      <c r="L45" s="211"/>
    </row>
    <row r="46" spans="2:12" x14ac:dyDescent="0.25">
      <c r="B46" s="57" t="s">
        <v>343</v>
      </c>
      <c r="C46" s="105"/>
      <c r="D46" s="145"/>
      <c r="E46" s="146">
        <v>1500</v>
      </c>
      <c r="F46" s="30"/>
      <c r="G46" s="30">
        <v>2</v>
      </c>
      <c r="H46" s="194"/>
      <c r="I46" s="144"/>
      <c r="J46" s="193">
        <f>(G46*G24/E46)*'Assumptions &amp; Costs'!E76*(1+'Assumptions &amp; Costs'!C81)</f>
        <v>702.45944999999995</v>
      </c>
      <c r="K46" s="129"/>
      <c r="L46" s="211"/>
    </row>
    <row r="47" spans="2:12" x14ac:dyDescent="0.25">
      <c r="B47" s="56" t="s">
        <v>344</v>
      </c>
      <c r="C47" s="105"/>
      <c r="D47" s="145">
        <v>20000</v>
      </c>
      <c r="E47" s="100">
        <v>1500</v>
      </c>
      <c r="F47" s="30">
        <v>3</v>
      </c>
      <c r="G47" s="30">
        <v>9</v>
      </c>
      <c r="H47" s="194"/>
      <c r="I47" s="144"/>
      <c r="J47" s="193">
        <f>(F47*G20/D47)+(G47*G24/E47)*'Assumptions &amp; Costs'!E76*(1+'Assumptions &amp; Costs'!C81)</f>
        <v>3176.3450250000001</v>
      </c>
      <c r="K47" s="129"/>
      <c r="L47" s="211"/>
    </row>
    <row r="48" spans="2:12" x14ac:dyDescent="0.25">
      <c r="B48" s="56" t="s">
        <v>345</v>
      </c>
      <c r="C48" s="105"/>
      <c r="D48" s="145"/>
      <c r="E48" s="100">
        <v>2000</v>
      </c>
      <c r="F48" s="30"/>
      <c r="G48" s="30">
        <v>3</v>
      </c>
      <c r="H48" s="194"/>
      <c r="I48" s="144"/>
      <c r="J48" s="193">
        <f>(G48*G24/E48)*'Assumptions &amp; Costs'!E76*(1+'Assumptions &amp; Costs'!C81)</f>
        <v>790.26688124999998</v>
      </c>
      <c r="K48" s="129"/>
      <c r="L48" s="211"/>
    </row>
    <row r="49" spans="2:12" x14ac:dyDescent="0.25">
      <c r="B49" s="56" t="s">
        <v>346</v>
      </c>
      <c r="C49" s="105"/>
      <c r="D49" s="145"/>
      <c r="E49" s="100">
        <v>4000</v>
      </c>
      <c r="F49" s="30"/>
      <c r="G49" s="30">
        <v>3</v>
      </c>
      <c r="H49" s="194"/>
      <c r="I49" s="145">
        <v>100</v>
      </c>
      <c r="J49" s="193">
        <f>(G49*G24/E49)*'Assumptions &amp; Costs'!E75*(1+'Assumptions &amp; Costs'!C81)</f>
        <v>431.05466249999995</v>
      </c>
      <c r="K49" s="61"/>
      <c r="L49" s="211"/>
    </row>
    <row r="50" spans="2:12" x14ac:dyDescent="0.25">
      <c r="B50" s="56" t="s">
        <v>15</v>
      </c>
      <c r="C50" s="105"/>
      <c r="D50" s="145"/>
      <c r="E50" s="100">
        <v>2000</v>
      </c>
      <c r="F50" s="30"/>
      <c r="G50" s="30">
        <v>2</v>
      </c>
      <c r="H50" s="194"/>
      <c r="I50" s="147">
        <f>E81</f>
        <v>11557.5051375</v>
      </c>
      <c r="J50" s="193">
        <f>(G50*G25/E50)*'Assumptions &amp; Costs'!E76*(1+'Assumptions &amp; Costs'!C82)</f>
        <v>75.623625000000004</v>
      </c>
      <c r="K50" s="61"/>
      <c r="L50" s="211"/>
    </row>
    <row r="51" spans="2:12" x14ac:dyDescent="0.25">
      <c r="B51" s="56" t="s">
        <v>347</v>
      </c>
      <c r="C51" s="105"/>
      <c r="D51" s="145">
        <v>20000</v>
      </c>
      <c r="E51" s="100">
        <v>8000</v>
      </c>
      <c r="F51" s="30">
        <v>1</v>
      </c>
      <c r="G51" s="30">
        <v>1</v>
      </c>
      <c r="H51" s="194"/>
      <c r="I51" s="144"/>
      <c r="J51" s="193">
        <f>(F51*G20/D51)+(G51*G24/E51)*'Assumptions &amp; Costs'!E76*(1+'Assumptions &amp; Costs'!C81)</f>
        <v>70.9480734375</v>
      </c>
      <c r="K51" s="129"/>
      <c r="L51" s="211"/>
    </row>
    <row r="52" spans="2:12" x14ac:dyDescent="0.25">
      <c r="B52" s="56" t="s">
        <v>348</v>
      </c>
      <c r="C52" s="88"/>
      <c r="D52" s="144"/>
      <c r="E52" s="100">
        <v>500</v>
      </c>
      <c r="F52" s="30"/>
      <c r="G52" s="30">
        <v>1</v>
      </c>
      <c r="H52" s="194"/>
      <c r="I52" s="144"/>
      <c r="J52" s="193">
        <f>(G52*G24/E52)*'Assumptions &amp; Costs'!E76*(1+'Assumptions &amp; Costs'!C81)</f>
        <v>1053.689175</v>
      </c>
      <c r="K52" s="129"/>
      <c r="L52" s="211"/>
    </row>
    <row r="53" spans="2:12" x14ac:dyDescent="0.25">
      <c r="B53" s="56"/>
      <c r="C53" s="88"/>
      <c r="D53" s="144"/>
      <c r="E53" s="100"/>
      <c r="F53" s="30"/>
      <c r="G53" s="30"/>
      <c r="H53" s="194"/>
      <c r="I53" s="144"/>
      <c r="J53" s="193"/>
      <c r="K53" s="129"/>
      <c r="L53" s="211"/>
    </row>
    <row r="54" spans="2:12" x14ac:dyDescent="0.25">
      <c r="B54" s="57" t="s">
        <v>349</v>
      </c>
      <c r="C54" s="88"/>
      <c r="D54" s="144"/>
      <c r="E54" s="100">
        <v>100000</v>
      </c>
      <c r="F54" s="30"/>
      <c r="G54" s="30">
        <v>9</v>
      </c>
      <c r="H54" s="194"/>
      <c r="I54" s="144"/>
      <c r="J54" s="193">
        <f>(G54*G24/E54)*'Assumptions &amp; Costs'!E76*(1+'Assumptions &amp; Costs'!C81)</f>
        <v>47.416012875</v>
      </c>
      <c r="K54" s="129"/>
      <c r="L54" s="211"/>
    </row>
    <row r="55" spans="2:12" x14ac:dyDescent="0.25">
      <c r="B55" s="17" t="s">
        <v>350</v>
      </c>
      <c r="C55" s="88"/>
      <c r="D55" s="144"/>
      <c r="E55" s="100">
        <v>100000</v>
      </c>
      <c r="F55" s="30"/>
      <c r="G55" s="30">
        <v>9</v>
      </c>
      <c r="H55" s="194"/>
      <c r="I55" s="144"/>
      <c r="J55" s="193">
        <f>(G55*G24/E55)*'Assumptions &amp; Costs'!E76*(1+'Assumptions &amp; Costs'!C81)</f>
        <v>47.416012875</v>
      </c>
      <c r="K55" s="129"/>
      <c r="L55" s="211"/>
    </row>
    <row r="56" spans="2:12" x14ac:dyDescent="0.25">
      <c r="B56" s="57" t="s">
        <v>542</v>
      </c>
      <c r="C56" s="88"/>
      <c r="D56" s="144"/>
      <c r="E56" s="100">
        <v>100000</v>
      </c>
      <c r="F56" s="30"/>
      <c r="G56" s="30">
        <v>9</v>
      </c>
      <c r="H56" s="194"/>
      <c r="I56" s="144"/>
      <c r="J56" s="193">
        <f>(G56*G24/E56)*'Assumptions &amp; Costs'!E76*(1+'Assumptions &amp; Costs'!C81)</f>
        <v>47.416012875</v>
      </c>
      <c r="K56" s="129"/>
      <c r="L56" s="212">
        <f>((C66*(C9-C8))/5)+((C68*(C9-C8))/5)</f>
        <v>10927.80504908836</v>
      </c>
    </row>
    <row r="57" spans="2:12" x14ac:dyDescent="0.25">
      <c r="B57" s="57" t="s">
        <v>550</v>
      </c>
      <c r="C57" s="88"/>
      <c r="D57" s="144"/>
      <c r="E57" s="218">
        <v>5</v>
      </c>
      <c r="F57" s="30"/>
      <c r="G57" s="30"/>
      <c r="H57" s="194"/>
      <c r="I57" s="144"/>
      <c r="J57" s="193">
        <f>'Assumptions &amp; Costs'!C78*(1+'Assumptions &amp; Costs'!C81)*12*E57</f>
        <v>15675</v>
      </c>
      <c r="K57" s="129"/>
      <c r="L57" s="211"/>
    </row>
    <row r="58" spans="2:12" x14ac:dyDescent="0.25">
      <c r="B58" s="57" t="s">
        <v>106</v>
      </c>
      <c r="C58" s="88"/>
      <c r="D58" s="144"/>
      <c r="E58" s="218">
        <v>2</v>
      </c>
      <c r="F58" s="30"/>
      <c r="G58" s="30"/>
      <c r="H58" s="194"/>
      <c r="I58" s="144"/>
      <c r="J58" s="193">
        <f>'Assumptions &amp; Costs'!C79*(1+'Assumptions &amp; Costs'!C81)*12*E58</f>
        <v>15048</v>
      </c>
      <c r="K58" s="129"/>
      <c r="L58" s="211"/>
    </row>
    <row r="59" spans="2:12" x14ac:dyDescent="0.25">
      <c r="B59" s="57" t="s">
        <v>541</v>
      </c>
      <c r="C59" s="88"/>
      <c r="D59" s="144"/>
      <c r="E59" s="218">
        <v>1</v>
      </c>
      <c r="F59" s="30"/>
      <c r="G59" s="30"/>
      <c r="H59" s="194"/>
      <c r="I59" s="144"/>
      <c r="J59" s="193">
        <f>'Assumptions &amp; Costs'!C80*(1+'Assumptions &amp; Costs'!C81)*12*E59</f>
        <v>18810</v>
      </c>
      <c r="K59" s="129"/>
      <c r="L59" s="211"/>
    </row>
    <row r="60" spans="2:12" x14ac:dyDescent="0.25">
      <c r="B60" s="56" t="s">
        <v>351</v>
      </c>
      <c r="C60" s="88"/>
      <c r="D60" s="17"/>
      <c r="E60" s="18"/>
      <c r="F60" s="30"/>
      <c r="G60" s="30"/>
      <c r="H60" s="194"/>
      <c r="I60" s="145">
        <v>1000</v>
      </c>
      <c r="J60" s="193"/>
      <c r="K60" s="61"/>
      <c r="L60" s="211"/>
    </row>
    <row r="61" spans="2:12" x14ac:dyDescent="0.25">
      <c r="B61" s="58" t="s">
        <v>546</v>
      </c>
      <c r="C61" s="86"/>
      <c r="D61" s="52"/>
      <c r="E61" s="148"/>
      <c r="F61" s="19"/>
      <c r="G61" s="19"/>
      <c r="H61" s="176"/>
      <c r="I61" s="17"/>
      <c r="J61" s="193">
        <f>SUM(J40:J59)*0.1</f>
        <v>6676.89001058125</v>
      </c>
      <c r="K61" s="129"/>
      <c r="L61" s="211"/>
    </row>
    <row r="62" spans="2:12" x14ac:dyDescent="0.25">
      <c r="E62" s="87"/>
      <c r="I62" s="201">
        <f>SUM(I38:I61)</f>
        <v>195231.0051375</v>
      </c>
      <c r="J62" s="207">
        <f>SUM(J38:J61)</f>
        <v>73445.790116393749</v>
      </c>
      <c r="K62" s="207">
        <f>SUM(K38:K61)</f>
        <v>3160.54523141655</v>
      </c>
      <c r="L62" s="207">
        <f>SUM(L38:L61)</f>
        <v>10927.80504908836</v>
      </c>
    </row>
    <row r="63" spans="2:12" x14ac:dyDescent="0.25">
      <c r="B63" s="1" t="s">
        <v>352</v>
      </c>
      <c r="C63" s="149" t="s">
        <v>392</v>
      </c>
    </row>
    <row r="64" spans="2:12" x14ac:dyDescent="0.25">
      <c r="B64" s="129" t="s">
        <v>417</v>
      </c>
      <c r="C64" s="66" t="s">
        <v>418</v>
      </c>
      <c r="D64" s="129" t="s">
        <v>353</v>
      </c>
      <c r="E64" t="s">
        <v>419</v>
      </c>
      <c r="I64" t="s">
        <v>420</v>
      </c>
      <c r="J64" s="125">
        <f>C11</f>
        <v>500.00000000000006</v>
      </c>
    </row>
    <row r="65" spans="2:11" x14ac:dyDescent="0.25">
      <c r="B65" s="129" t="s">
        <v>386</v>
      </c>
      <c r="C65" s="66" t="s">
        <v>418</v>
      </c>
      <c r="D65" s="129" t="s">
        <v>355</v>
      </c>
      <c r="E65" t="s">
        <v>543</v>
      </c>
      <c r="I65" t="s">
        <v>0</v>
      </c>
      <c r="J65" s="124">
        <f>J62</f>
        <v>73445.790116393749</v>
      </c>
    </row>
    <row r="66" spans="2:11" x14ac:dyDescent="0.25">
      <c r="B66" s="129" t="s">
        <v>354</v>
      </c>
      <c r="C66" s="36">
        <v>3500</v>
      </c>
      <c r="D66" s="129" t="s">
        <v>355</v>
      </c>
      <c r="I66" t="s">
        <v>1</v>
      </c>
      <c r="J66" s="124">
        <f>I62</f>
        <v>195231.0051375</v>
      </c>
      <c r="K66" s="125"/>
    </row>
    <row r="67" spans="2:11" x14ac:dyDescent="0.25">
      <c r="B67" s="129" t="s">
        <v>421</v>
      </c>
      <c r="C67" s="66" t="s">
        <v>418</v>
      </c>
      <c r="D67" s="129" t="s">
        <v>356</v>
      </c>
      <c r="E67" t="s">
        <v>422</v>
      </c>
      <c r="I67" t="s">
        <v>101</v>
      </c>
      <c r="J67" s="124">
        <f>K62</f>
        <v>3160.54523141655</v>
      </c>
      <c r="K67" s="125"/>
    </row>
    <row r="68" spans="2:11" x14ac:dyDescent="0.25">
      <c r="B68" s="129" t="s">
        <v>423</v>
      </c>
      <c r="C68" s="36">
        <v>5000</v>
      </c>
      <c r="D68" s="129" t="s">
        <v>355</v>
      </c>
      <c r="I68" t="s">
        <v>168</v>
      </c>
      <c r="J68" s="124">
        <f>L62</f>
        <v>10927.80504908836</v>
      </c>
      <c r="K68" s="125"/>
    </row>
    <row r="69" spans="2:11" ht="15.75" thickBot="1" x14ac:dyDescent="0.3">
      <c r="J69" s="213">
        <f>SUM(J65:J68)</f>
        <v>282765.14553439867</v>
      </c>
    </row>
    <row r="70" spans="2:11" ht="15.75" thickTop="1" x14ac:dyDescent="0.25">
      <c r="B70" s="1" t="s">
        <v>5</v>
      </c>
      <c r="C70" s="129"/>
      <c r="D70" s="129"/>
      <c r="E70" s="129"/>
      <c r="I70" t="s">
        <v>548</v>
      </c>
      <c r="J70" s="124">
        <f>J69*0.1</f>
        <v>28276.514553439869</v>
      </c>
    </row>
    <row r="71" spans="2:11" x14ac:dyDescent="0.25">
      <c r="B71" s="203" t="s">
        <v>14</v>
      </c>
      <c r="C71" s="257" t="s">
        <v>15</v>
      </c>
      <c r="D71" s="257"/>
      <c r="E71" s="204"/>
      <c r="I71" t="s">
        <v>86</v>
      </c>
      <c r="J71" s="125">
        <f>J69+J70</f>
        <v>311041.66008783854</v>
      </c>
    </row>
    <row r="72" spans="2:11" ht="15.75" thickBot="1" x14ac:dyDescent="0.3">
      <c r="B72" s="205"/>
      <c r="C72" s="206" t="s">
        <v>424</v>
      </c>
      <c r="D72" s="206" t="s">
        <v>357</v>
      </c>
      <c r="E72" s="28" t="s">
        <v>538</v>
      </c>
      <c r="I72" t="s">
        <v>549</v>
      </c>
      <c r="J72" s="202">
        <f>J71/G28</f>
        <v>4.202159060988345</v>
      </c>
      <c r="K72" s="125" t="s">
        <v>57</v>
      </c>
    </row>
    <row r="73" spans="2:11" ht="15.75" thickTop="1" x14ac:dyDescent="0.25">
      <c r="B73" s="205">
        <v>0</v>
      </c>
      <c r="C73" s="205" t="s">
        <v>429</v>
      </c>
      <c r="D73" s="206">
        <v>5</v>
      </c>
      <c r="E73" s="207">
        <f>G20*('Assumptions &amp; Costs'!C71+'Assumptions &amp; Costs'!C72)*Nursery!D73/1000/1000</f>
        <v>234.00037499999999</v>
      </c>
    </row>
    <row r="74" spans="2:11" x14ac:dyDescent="0.25">
      <c r="B74" s="205">
        <v>0</v>
      </c>
      <c r="C74" s="205" t="s">
        <v>425</v>
      </c>
      <c r="D74" s="206">
        <v>5</v>
      </c>
      <c r="E74" s="207">
        <f>G20*('Assumptions &amp; Costs'!C67+'Assumptions &amp; Costs'!C72)*Nursery!D74/1000/1000</f>
        <v>1069.1703749999999</v>
      </c>
    </row>
    <row r="75" spans="2:11" x14ac:dyDescent="0.25">
      <c r="B75" s="205">
        <v>12</v>
      </c>
      <c r="C75" s="205" t="s">
        <v>425</v>
      </c>
      <c r="D75" s="206">
        <v>50</v>
      </c>
      <c r="E75" s="207">
        <f>G24*('Assumptions &amp; Costs'!C67+'Assumptions &amp; Costs'!C72)*Nursery!D75/1000/1000</f>
        <v>9622.5333750000009</v>
      </c>
    </row>
    <row r="76" spans="2:11" x14ac:dyDescent="0.25">
      <c r="B76" s="205"/>
      <c r="C76" s="205"/>
      <c r="D76" s="206"/>
      <c r="E76" s="204"/>
    </row>
    <row r="77" spans="2:11" x14ac:dyDescent="0.25">
      <c r="B77" s="205"/>
      <c r="C77" s="205"/>
      <c r="D77" s="206"/>
      <c r="E77" s="204"/>
    </row>
    <row r="78" spans="2:11" x14ac:dyDescent="0.25">
      <c r="B78" s="205"/>
      <c r="C78" s="205"/>
      <c r="D78" s="206"/>
      <c r="E78" s="204"/>
    </row>
    <row r="79" spans="2:11" x14ac:dyDescent="0.25">
      <c r="B79" s="205" t="s">
        <v>545</v>
      </c>
      <c r="C79" s="205"/>
      <c r="D79" s="206">
        <v>50</v>
      </c>
      <c r="E79" s="207">
        <f>G24*0.3*('Assumptions &amp; Costs'!C71+'Assumptions &amp; Costs'!C72)*Nursery!D79/1000/1000</f>
        <v>631.80101249999996</v>
      </c>
    </row>
    <row r="80" spans="2:11" x14ac:dyDescent="0.25">
      <c r="B80" s="205"/>
      <c r="C80" s="205"/>
      <c r="D80" s="206"/>
      <c r="E80" s="204"/>
    </row>
    <row r="81" spans="2:6" x14ac:dyDescent="0.25">
      <c r="B81" s="208" t="s">
        <v>86</v>
      </c>
      <c r="C81" s="206"/>
      <c r="D81" s="203"/>
      <c r="E81" s="209">
        <f>SUM(E73:E80)</f>
        <v>11557.5051375</v>
      </c>
    </row>
    <row r="82" spans="2:6" x14ac:dyDescent="0.25">
      <c r="B82" s="129"/>
      <c r="C82" s="129"/>
      <c r="D82" s="129"/>
      <c r="E82" s="129"/>
      <c r="F82" s="60"/>
    </row>
    <row r="84" spans="2:6" x14ac:dyDescent="0.25">
      <c r="B84" s="129" t="s">
        <v>426</v>
      </c>
    </row>
  </sheetData>
  <mergeCells count="1">
    <mergeCell ref="C71:D71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workbookViewId="0">
      <selection activeCell="M41" sqref="M41"/>
    </sheetView>
  </sheetViews>
  <sheetFormatPr defaultRowHeight="15" x14ac:dyDescent="0.25"/>
  <cols>
    <col min="1" max="1" width="15.5703125" customWidth="1"/>
    <col min="2" max="2" width="20.85546875" customWidth="1"/>
  </cols>
  <sheetData>
    <row r="2" spans="1:21" x14ac:dyDescent="0.25">
      <c r="C2" t="s">
        <v>575</v>
      </c>
    </row>
    <row r="3" spans="1:21" x14ac:dyDescent="0.25">
      <c r="C3">
        <v>2017</v>
      </c>
      <c r="D3">
        <f>C3+1</f>
        <v>2018</v>
      </c>
      <c r="E3">
        <f t="shared" ref="E3:U3" si="0">D3+1</f>
        <v>2019</v>
      </c>
      <c r="F3">
        <f t="shared" si="0"/>
        <v>2020</v>
      </c>
      <c r="G3">
        <f t="shared" si="0"/>
        <v>2021</v>
      </c>
      <c r="H3">
        <f t="shared" si="0"/>
        <v>2022</v>
      </c>
      <c r="I3">
        <f t="shared" si="0"/>
        <v>2023</v>
      </c>
      <c r="J3">
        <f t="shared" si="0"/>
        <v>2024</v>
      </c>
      <c r="K3">
        <f t="shared" si="0"/>
        <v>2025</v>
      </c>
      <c r="L3">
        <f t="shared" si="0"/>
        <v>2026</v>
      </c>
      <c r="M3">
        <f t="shared" si="0"/>
        <v>2027</v>
      </c>
      <c r="N3">
        <f t="shared" si="0"/>
        <v>2028</v>
      </c>
      <c r="O3">
        <f t="shared" si="0"/>
        <v>2029</v>
      </c>
      <c r="P3">
        <f t="shared" si="0"/>
        <v>2030</v>
      </c>
      <c r="Q3">
        <f t="shared" si="0"/>
        <v>2031</v>
      </c>
      <c r="R3">
        <f t="shared" si="0"/>
        <v>2032</v>
      </c>
      <c r="S3">
        <f t="shared" si="0"/>
        <v>2033</v>
      </c>
      <c r="T3">
        <f t="shared" si="0"/>
        <v>2034</v>
      </c>
      <c r="U3">
        <f t="shared" si="0"/>
        <v>2035</v>
      </c>
    </row>
    <row r="4" spans="1:21" x14ac:dyDescent="0.25">
      <c r="A4" t="s">
        <v>578</v>
      </c>
      <c r="C4" s="240">
        <f>'CF &amp; WC (500Ha)'!E34</f>
        <v>-1755788.6431092282</v>
      </c>
      <c r="D4" s="240">
        <f>'CF &amp; WC (500Ha)'!F34</f>
        <v>-470120.34868195903</v>
      </c>
      <c r="E4" s="240">
        <f>'CF &amp; WC (500Ha)'!G34</f>
        <v>-346772.35263677873</v>
      </c>
      <c r="F4" s="240">
        <f>'CF &amp; WC (500Ha)'!H34</f>
        <v>-171187.78007772431</v>
      </c>
      <c r="G4" s="240">
        <f>'CF &amp; WC (500Ha)'!I34</f>
        <v>-138099.66485336534</v>
      </c>
      <c r="H4" s="240">
        <f>'CF &amp; WC (500Ha)'!J34</f>
        <v>-41161.380478365318</v>
      </c>
      <c r="I4" s="240">
        <f>'CF &amp; WC (500Ha)'!K34</f>
        <v>35417.975771634665</v>
      </c>
      <c r="J4" s="240">
        <f>'CF &amp; WC (500Ha)'!L34</f>
        <v>84960.160146634676</v>
      </c>
      <c r="K4" s="240">
        <f>'CF &amp; WC (500Ha)'!M34</f>
        <v>136962.34764663468</v>
      </c>
      <c r="L4" s="240">
        <f>'CF &amp; WC (500Ha)'!N34</f>
        <v>150612.66014663468</v>
      </c>
      <c r="M4" s="240">
        <f>'CF &amp; WC (500Ha)'!O34</f>
        <v>151439.9518133013</v>
      </c>
      <c r="N4" s="240">
        <f>'CF &amp; WC (500Ha)'!P34</f>
        <v>155576.41014663468</v>
      </c>
      <c r="O4" s="240">
        <f>'CF &amp; WC (500Ha)'!Q34</f>
        <v>152267.24347996805</v>
      </c>
      <c r="P4" s="240">
        <f>'CF &amp; WC (500Ha)'!R34</f>
        <v>146269.37889663468</v>
      </c>
      <c r="Q4" s="240">
        <f>'CF &amp; WC (500Ha)'!S34</f>
        <v>3146379.6421319284</v>
      </c>
      <c r="R4" s="240">
        <f>'CF &amp; WC (500Ha)'!T34</f>
        <v>446738.2157021903</v>
      </c>
      <c r="S4" s="240">
        <f>'CF &amp; WC (500Ha)'!U34</f>
        <v>439626.41014663468</v>
      </c>
      <c r="T4" s="240">
        <f>'CF &amp; WC (500Ha)'!V34</f>
        <v>440671.41014663468</v>
      </c>
      <c r="U4" s="240">
        <f>'CF &amp; WC (500Ha)'!W34</f>
        <v>440671.41014663468</v>
      </c>
    </row>
    <row r="5" spans="1:21" x14ac:dyDescent="0.25">
      <c r="A5" t="s">
        <v>579</v>
      </c>
      <c r="B5" t="s">
        <v>580</v>
      </c>
      <c r="C5" s="240">
        <f>'Field Ops (500Ha)'!G220</f>
        <v>360864.625</v>
      </c>
      <c r="D5" s="240">
        <f>'Field Ops (500Ha)'!H220</f>
        <v>160564.25</v>
      </c>
      <c r="E5" s="240">
        <f>'Field Ops (500Ha)'!I220</f>
        <v>55750.75</v>
      </c>
      <c r="F5" s="240">
        <f>'Field Ops (500Ha)'!J220</f>
        <v>92300.541666666657</v>
      </c>
      <c r="G5" s="240">
        <f>'Field Ops (500Ha)'!K220</f>
        <v>98536.625</v>
      </c>
      <c r="H5" s="240">
        <f>'Field Ops (500Ha)'!L220</f>
        <v>115971.625</v>
      </c>
      <c r="I5" s="240">
        <f>'Field Ops (500Ha)'!M220</f>
        <v>125129.125</v>
      </c>
      <c r="J5" s="240">
        <f>'Field Ops (500Ha)'!N220</f>
        <v>133062.875</v>
      </c>
      <c r="K5" s="240">
        <f>'Field Ops (500Ha)'!O220</f>
        <v>138710.6875</v>
      </c>
      <c r="L5" s="240">
        <f>'Field Ops (500Ha)'!P220</f>
        <v>125060.375</v>
      </c>
      <c r="M5" s="240">
        <f>'Field Ops (500Ha)'!Q220</f>
        <v>124233.08333333334</v>
      </c>
      <c r="N5" s="240">
        <f>'Field Ops (500Ha)'!R220</f>
        <v>120096.625</v>
      </c>
      <c r="O5" s="240">
        <f>'Field Ops (500Ha)'!S220</f>
        <v>123405.79166666669</v>
      </c>
      <c r="P5" s="240">
        <f>'Field Ops (500Ha)'!T220</f>
        <v>129403.65624999999</v>
      </c>
      <c r="Q5" s="240">
        <f>'Field Ops (500Ha)'!U220</f>
        <v>131776.03676470587</v>
      </c>
      <c r="R5" s="240">
        <f>'Field Ops (500Ha)'!V220</f>
        <v>133884.81944444444</v>
      </c>
      <c r="S5" s="240">
        <f>'Field Ops (500Ha)'!W220</f>
        <v>140996.625</v>
      </c>
      <c r="T5" s="240">
        <f>'Field Ops (500Ha)'!X220</f>
        <v>139951.625</v>
      </c>
      <c r="U5" s="240">
        <f>'Field Ops (500Ha)'!Y220</f>
        <v>139951.625</v>
      </c>
    </row>
    <row r="6" spans="1:21" x14ac:dyDescent="0.25">
      <c r="A6" t="s">
        <v>10</v>
      </c>
      <c r="C6" s="240">
        <f>C4+C5</f>
        <v>-1394924.0181092282</v>
      </c>
      <c r="D6" s="240">
        <f t="shared" ref="D6:U6" si="1">D4+D5</f>
        <v>-309556.09868195903</v>
      </c>
      <c r="E6" s="240">
        <f t="shared" si="1"/>
        <v>-291021.60263677873</v>
      </c>
      <c r="F6" s="240">
        <f t="shared" si="1"/>
        <v>-78887.238411057653</v>
      </c>
      <c r="G6" s="240">
        <f t="shared" si="1"/>
        <v>-39563.039853365335</v>
      </c>
      <c r="H6" s="240">
        <f t="shared" si="1"/>
        <v>74810.244521634682</v>
      </c>
      <c r="I6" s="240">
        <f t="shared" si="1"/>
        <v>160547.10077163466</v>
      </c>
      <c r="J6" s="240">
        <f t="shared" si="1"/>
        <v>218023.03514663468</v>
      </c>
      <c r="K6" s="240">
        <f t="shared" si="1"/>
        <v>275673.03514663468</v>
      </c>
      <c r="L6" s="240">
        <f t="shared" si="1"/>
        <v>275673.03514663468</v>
      </c>
      <c r="M6" s="240">
        <f t="shared" si="1"/>
        <v>275673.03514663468</v>
      </c>
      <c r="N6" s="240">
        <f t="shared" si="1"/>
        <v>275673.03514663468</v>
      </c>
      <c r="O6" s="240">
        <f t="shared" si="1"/>
        <v>275673.03514663473</v>
      </c>
      <c r="P6" s="240">
        <f t="shared" si="1"/>
        <v>275673.03514663468</v>
      </c>
      <c r="Q6" s="240">
        <f t="shared" si="1"/>
        <v>3278155.6788966344</v>
      </c>
      <c r="R6" s="240">
        <f t="shared" si="1"/>
        <v>580623.03514663479</v>
      </c>
      <c r="S6" s="240">
        <f t="shared" si="1"/>
        <v>580623.03514663468</v>
      </c>
      <c r="T6" s="240">
        <f t="shared" si="1"/>
        <v>580623.03514663468</v>
      </c>
      <c r="U6" s="240">
        <f t="shared" si="1"/>
        <v>580623.03514663468</v>
      </c>
    </row>
    <row r="29" spans="1:21" x14ac:dyDescent="0.25">
      <c r="A29" t="s">
        <v>583</v>
      </c>
      <c r="C29" s="124">
        <f>'Field Ops'!G225*5</f>
        <v>627.86363636363637</v>
      </c>
      <c r="D29" s="124">
        <f>'Field Ops'!H225*5</f>
        <v>279.36363636363643</v>
      </c>
      <c r="E29" s="124">
        <f>'Field Ops'!I225*5</f>
        <v>97</v>
      </c>
      <c r="F29" s="124">
        <f>'Field Ops'!J225*5</f>
        <v>153.56964380648594</v>
      </c>
      <c r="G29" s="124">
        <f>'Field Ops'!K225*5</f>
        <v>161.84130781499204</v>
      </c>
      <c r="H29" s="124">
        <f>'Field Ops'!L225*5</f>
        <v>189.64832535885168</v>
      </c>
      <c r="I29" s="124">
        <f>'Field Ops'!M225*5</f>
        <v>204.25358851674642</v>
      </c>
      <c r="J29" s="124">
        <f>'Field Ops'!N225*5</f>
        <v>216.90709728867625</v>
      </c>
      <c r="K29" s="124">
        <f>'Field Ops'!O225*5</f>
        <v>225.91477272727275</v>
      </c>
      <c r="L29" s="124">
        <f>'Field Ops'!P225*5</f>
        <v>204.14393939393938</v>
      </c>
      <c r="M29" s="124">
        <f>'Field Ops'!Q225*5</f>
        <v>202.82449494949498</v>
      </c>
      <c r="N29" s="124">
        <f>'Field Ops'!R225*5</f>
        <v>196.22727272727272</v>
      </c>
      <c r="O29" s="124">
        <f>'Field Ops'!S225*5</f>
        <v>201.50505050505052</v>
      </c>
      <c r="P29" s="124">
        <f>'Field Ops'!T225*5</f>
        <v>211.07102272727272</v>
      </c>
      <c r="Q29" s="124">
        <f>'Field Ops'!U225*5</f>
        <v>214.85472370766487</v>
      </c>
      <c r="R29" s="124">
        <f>'Field Ops'!V225*5</f>
        <v>218.21801346801348</v>
      </c>
      <c r="S29" s="124">
        <f>'Field Ops'!W225*5</f>
        <v>229.56060606060606</v>
      </c>
      <c r="T29" s="124">
        <f>'Field Ops'!X225*5</f>
        <v>227.89393939393938</v>
      </c>
      <c r="U29" s="124">
        <f>'Field Ops'!Y225*5</f>
        <v>227.89393939393938</v>
      </c>
    </row>
    <row r="30" spans="1:21" x14ac:dyDescent="0.25">
      <c r="C30" t="s">
        <v>584</v>
      </c>
    </row>
    <row r="31" spans="1:21" x14ac:dyDescent="0.25">
      <c r="C31">
        <f t="shared" ref="C31:U31" si="2">C3</f>
        <v>2017</v>
      </c>
      <c r="D31">
        <f t="shared" si="2"/>
        <v>2018</v>
      </c>
      <c r="E31">
        <f t="shared" si="2"/>
        <v>2019</v>
      </c>
      <c r="F31">
        <f t="shared" si="2"/>
        <v>2020</v>
      </c>
      <c r="G31">
        <f t="shared" si="2"/>
        <v>2021</v>
      </c>
      <c r="H31">
        <f t="shared" si="2"/>
        <v>2022</v>
      </c>
      <c r="I31">
        <f t="shared" si="2"/>
        <v>2023</v>
      </c>
      <c r="J31">
        <f t="shared" si="2"/>
        <v>2024</v>
      </c>
      <c r="K31">
        <f t="shared" si="2"/>
        <v>2025</v>
      </c>
      <c r="L31">
        <f t="shared" si="2"/>
        <v>2026</v>
      </c>
      <c r="M31">
        <f t="shared" si="2"/>
        <v>2027</v>
      </c>
      <c r="N31">
        <f t="shared" si="2"/>
        <v>2028</v>
      </c>
      <c r="O31">
        <f t="shared" si="2"/>
        <v>2029</v>
      </c>
      <c r="P31">
        <f t="shared" si="2"/>
        <v>2030</v>
      </c>
      <c r="Q31">
        <f t="shared" si="2"/>
        <v>2031</v>
      </c>
      <c r="R31">
        <f t="shared" si="2"/>
        <v>2032</v>
      </c>
      <c r="S31">
        <f t="shared" si="2"/>
        <v>2033</v>
      </c>
      <c r="T31">
        <f t="shared" si="2"/>
        <v>2034</v>
      </c>
      <c r="U31">
        <f t="shared" si="2"/>
        <v>2035</v>
      </c>
    </row>
    <row r="32" spans="1:21" x14ac:dyDescent="0.25">
      <c r="A32" t="s">
        <v>585</v>
      </c>
      <c r="B32" t="s">
        <v>586</v>
      </c>
      <c r="C32" s="249">
        <f>C29/(46*5.5)</f>
        <v>2.4816744520301834</v>
      </c>
      <c r="D32" s="249">
        <f t="shared" ref="D32:U32" si="3">D29/(46*5.5)</f>
        <v>1.1042040962989583</v>
      </c>
      <c r="E32" s="249">
        <f t="shared" si="3"/>
        <v>0.38339920948616601</v>
      </c>
      <c r="F32" s="249">
        <f t="shared" si="3"/>
        <v>0.60699463955132782</v>
      </c>
      <c r="G32" s="249">
        <f t="shared" si="3"/>
        <v>0.63968896369562067</v>
      </c>
      <c r="H32" s="249">
        <f t="shared" si="3"/>
        <v>0.74959812394803038</v>
      </c>
      <c r="I32" s="249">
        <f t="shared" si="3"/>
        <v>0.80732643682508465</v>
      </c>
      <c r="J32" s="249">
        <f t="shared" si="3"/>
        <v>0.85734030548883899</v>
      </c>
      <c r="K32" s="249">
        <f t="shared" si="3"/>
        <v>0.89294376572044565</v>
      </c>
      <c r="L32" s="249">
        <f t="shared" si="3"/>
        <v>0.80689304108276438</v>
      </c>
      <c r="M32" s="249">
        <f t="shared" si="3"/>
        <v>0.80167784565017775</v>
      </c>
      <c r="N32" s="249">
        <f t="shared" si="3"/>
        <v>0.77560186848724399</v>
      </c>
      <c r="O32" s="249">
        <f t="shared" si="3"/>
        <v>0.796462650217591</v>
      </c>
      <c r="P32" s="249">
        <f t="shared" si="3"/>
        <v>0.83427281710384471</v>
      </c>
      <c r="Q32" s="249">
        <f t="shared" si="3"/>
        <v>0.84922815694729203</v>
      </c>
      <c r="R32" s="249">
        <f t="shared" si="3"/>
        <v>0.86252179236368964</v>
      </c>
      <c r="S32" s="249">
        <f t="shared" si="3"/>
        <v>0.90735417415259312</v>
      </c>
      <c r="T32" s="249">
        <f t="shared" si="3"/>
        <v>0.90076655886932555</v>
      </c>
      <c r="U32" s="249">
        <f t="shared" si="3"/>
        <v>0.90076655886932555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C198"/>
  <sheetViews>
    <sheetView showGridLines="0" topLeftCell="A44" zoomScaleNormal="100" workbookViewId="0">
      <selection activeCell="P47" sqref="P47"/>
    </sheetView>
  </sheetViews>
  <sheetFormatPr defaultRowHeight="12.75" x14ac:dyDescent="0.2"/>
  <cols>
    <col min="1" max="1" width="7.85546875" style="54" customWidth="1"/>
    <col min="2" max="2" width="33.85546875" style="2" customWidth="1"/>
    <col min="3" max="3" width="19.42578125" style="2" customWidth="1"/>
    <col min="4" max="4" width="9.140625" style="2"/>
    <col min="5" max="5" width="9.7109375" style="2" customWidth="1"/>
    <col min="6" max="6" width="7.7109375" style="2" customWidth="1"/>
    <col min="7" max="7" width="16.5703125" style="2" customWidth="1"/>
    <col min="8" max="8" width="9.140625" style="2" customWidth="1"/>
    <col min="9" max="9" width="10.7109375" style="2" customWidth="1"/>
    <col min="10" max="10" width="16.5703125" style="2" customWidth="1"/>
    <col min="11" max="11" width="9.140625" style="2" customWidth="1"/>
    <col min="12" max="12" width="10.42578125" style="2" customWidth="1"/>
    <col min="13" max="13" width="7.7109375" style="2" customWidth="1"/>
    <col min="14" max="14" width="9.140625" style="2" customWidth="1"/>
    <col min="15" max="15" width="12" style="2" customWidth="1"/>
    <col min="16" max="16" width="7.5703125" style="2" customWidth="1"/>
    <col min="17" max="17" width="10.140625" style="2" customWidth="1"/>
    <col min="18" max="18" width="7.7109375" style="2" customWidth="1"/>
    <col min="19" max="19" width="8.5703125" style="2" customWidth="1"/>
    <col min="20" max="20" width="8.140625" style="2" customWidth="1"/>
    <col min="21" max="22" width="9.140625" style="2" customWidth="1"/>
    <col min="23" max="23" width="7.7109375" style="2" customWidth="1"/>
    <col min="24" max="24" width="9.140625" style="2" customWidth="1"/>
    <col min="25" max="26" width="9.7109375" style="2" customWidth="1"/>
    <col min="27" max="27" width="16.5703125" style="2" customWidth="1"/>
    <col min="28" max="28" width="9.140625" style="2" customWidth="1"/>
    <col min="29" max="29" width="10.7109375" style="2" customWidth="1"/>
    <col min="30" max="30" width="16.5703125" style="2" customWidth="1"/>
    <col min="31" max="32" width="9.140625" style="2" customWidth="1"/>
    <col min="33" max="34" width="9.140625" style="2"/>
    <col min="35" max="36" width="9.7109375" style="2" customWidth="1"/>
    <col min="37" max="37" width="16.5703125" style="2" customWidth="1"/>
    <col min="38" max="38" width="9.140625" style="2"/>
    <col min="39" max="39" width="10.7109375" style="2" customWidth="1"/>
    <col min="40" max="40" width="16.5703125" style="2" customWidth="1"/>
    <col min="41" max="41" width="9.140625" style="2" customWidth="1"/>
    <col min="42" max="55" width="9.140625" style="2"/>
    <col min="56" max="16384" width="9.140625" style="54"/>
  </cols>
  <sheetData>
    <row r="1" spans="1:24" ht="13.5" thickBot="1" x14ac:dyDescent="0.25"/>
    <row r="2" spans="1:24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6"/>
    </row>
    <row r="3" spans="1:24" ht="13.5" thickTop="1" x14ac:dyDescent="0.2"/>
    <row r="4" spans="1:24" x14ac:dyDescent="0.2">
      <c r="B4" s="1" t="s">
        <v>363</v>
      </c>
    </row>
    <row r="5" spans="1:24" x14ac:dyDescent="0.2">
      <c r="B5" s="1"/>
    </row>
    <row r="6" spans="1:24" x14ac:dyDescent="0.2">
      <c r="B6" s="1"/>
    </row>
    <row r="7" spans="1:24" x14ac:dyDescent="0.2">
      <c r="B7" s="1" t="s">
        <v>6</v>
      </c>
    </row>
    <row r="8" spans="1:24" x14ac:dyDescent="0.2">
      <c r="A8" s="85" t="s">
        <v>372</v>
      </c>
      <c r="B8" s="3"/>
      <c r="D8" s="3"/>
      <c r="G8" s="3"/>
      <c r="H8" s="3"/>
      <c r="I8" s="30"/>
      <c r="J8" s="105"/>
      <c r="K8" s="105"/>
      <c r="L8" s="30"/>
    </row>
    <row r="9" spans="1:24" x14ac:dyDescent="0.2">
      <c r="A9" s="85" t="s">
        <v>236</v>
      </c>
      <c r="C9" s="4"/>
      <c r="D9" s="5">
        <v>2016</v>
      </c>
      <c r="E9" s="5">
        <f t="shared" ref="E9:O9" si="0">D9+1</f>
        <v>2017</v>
      </c>
      <c r="F9" s="5">
        <f t="shared" si="0"/>
        <v>2018</v>
      </c>
      <c r="G9" s="5">
        <f t="shared" si="0"/>
        <v>2019</v>
      </c>
      <c r="H9" s="5">
        <f t="shared" si="0"/>
        <v>2020</v>
      </c>
      <c r="I9" s="5">
        <f t="shared" si="0"/>
        <v>2021</v>
      </c>
      <c r="J9" s="5">
        <f t="shared" si="0"/>
        <v>2022</v>
      </c>
      <c r="K9" s="5">
        <f t="shared" si="0"/>
        <v>2023</v>
      </c>
      <c r="L9" s="5">
        <f t="shared" si="0"/>
        <v>2024</v>
      </c>
      <c r="M9" s="5">
        <f t="shared" si="0"/>
        <v>2025</v>
      </c>
      <c r="N9" s="5">
        <f t="shared" si="0"/>
        <v>2026</v>
      </c>
      <c r="O9" s="5">
        <f t="shared" si="0"/>
        <v>2027</v>
      </c>
    </row>
    <row r="10" spans="1:24" x14ac:dyDescent="0.2">
      <c r="A10" s="85">
        <v>20</v>
      </c>
      <c r="C10" s="2">
        <v>2016</v>
      </c>
      <c r="D10" s="6">
        <v>0</v>
      </c>
      <c r="E10" s="6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</row>
    <row r="11" spans="1:24" x14ac:dyDescent="0.2">
      <c r="A11" s="85"/>
      <c r="B11" s="129" t="s">
        <v>485</v>
      </c>
      <c r="C11" s="2">
        <f>+C10+1</f>
        <v>2017</v>
      </c>
      <c r="D11" s="6">
        <v>0</v>
      </c>
      <c r="E11" s="6">
        <v>600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</row>
    <row r="12" spans="1:24" x14ac:dyDescent="0.2">
      <c r="A12" s="85"/>
      <c r="B12" s="129" t="s">
        <v>486</v>
      </c>
      <c r="C12" s="129">
        <f>+C11</f>
        <v>2017</v>
      </c>
      <c r="D12" s="6">
        <v>0</v>
      </c>
      <c r="E12" s="6">
        <v>900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</row>
    <row r="13" spans="1:24" x14ac:dyDescent="0.2">
      <c r="A13" s="85"/>
      <c r="B13" s="129" t="s">
        <v>498</v>
      </c>
      <c r="C13" s="129">
        <f t="shared" ref="C13:C15" si="1">+C12</f>
        <v>2017</v>
      </c>
      <c r="D13" s="6">
        <v>0</v>
      </c>
      <c r="E13" s="6">
        <v>500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</row>
    <row r="14" spans="1:24" x14ac:dyDescent="0.2">
      <c r="A14" s="85"/>
      <c r="B14" s="129" t="s">
        <v>497</v>
      </c>
      <c r="C14" s="129">
        <f t="shared" si="1"/>
        <v>2017</v>
      </c>
      <c r="D14" s="6">
        <v>0</v>
      </c>
      <c r="E14" s="6">
        <v>700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</row>
    <row r="15" spans="1:24" x14ac:dyDescent="0.2">
      <c r="A15" s="85"/>
      <c r="B15" s="129" t="s">
        <v>488</v>
      </c>
      <c r="C15" s="129">
        <f t="shared" si="1"/>
        <v>2017</v>
      </c>
      <c r="D15" s="6">
        <v>0</v>
      </c>
      <c r="E15" s="6">
        <v>500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</row>
    <row r="17" spans="1:55" x14ac:dyDescent="0.2">
      <c r="B17" s="1" t="s">
        <v>10</v>
      </c>
      <c r="C17" s="1"/>
      <c r="D17" s="8">
        <f t="shared" ref="D17:O17" si="2">SUM(D10:D16)</f>
        <v>0</v>
      </c>
      <c r="E17" s="8">
        <f t="shared" si="2"/>
        <v>3200</v>
      </c>
      <c r="F17" s="8">
        <f t="shared" si="2"/>
        <v>0</v>
      </c>
      <c r="G17" s="8">
        <f t="shared" si="2"/>
        <v>0</v>
      </c>
      <c r="H17" s="8">
        <f t="shared" si="2"/>
        <v>0</v>
      </c>
      <c r="I17" s="8">
        <f t="shared" si="2"/>
        <v>0</v>
      </c>
      <c r="J17" s="8">
        <f t="shared" si="2"/>
        <v>0</v>
      </c>
      <c r="K17" s="8">
        <f t="shared" si="2"/>
        <v>0</v>
      </c>
      <c r="L17" s="8">
        <f t="shared" si="2"/>
        <v>0</v>
      </c>
      <c r="M17" s="8">
        <f t="shared" si="2"/>
        <v>0</v>
      </c>
      <c r="N17" s="8">
        <f t="shared" si="2"/>
        <v>0</v>
      </c>
      <c r="O17" s="8">
        <f t="shared" si="2"/>
        <v>0</v>
      </c>
    </row>
    <row r="18" spans="1:55" x14ac:dyDescent="0.2">
      <c r="I18" s="105"/>
      <c r="J18" s="105"/>
      <c r="K18" s="105"/>
      <c r="L18" s="105"/>
    </row>
    <row r="19" spans="1:55" x14ac:dyDescent="0.2">
      <c r="B19" s="129"/>
      <c r="C19" s="129"/>
      <c r="D19" s="129"/>
      <c r="E19" s="129"/>
      <c r="F19" s="129"/>
      <c r="G19" s="129"/>
      <c r="H19" s="129"/>
      <c r="I19" s="105"/>
      <c r="J19" s="105"/>
      <c r="K19" s="105"/>
      <c r="L19" s="105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</row>
    <row r="20" spans="1:55" x14ac:dyDescent="0.2">
      <c r="B20" s="1" t="s">
        <v>587</v>
      </c>
      <c r="C20" s="1"/>
      <c r="D20" s="129">
        <v>500</v>
      </c>
      <c r="E20" s="129" t="s">
        <v>494</v>
      </c>
      <c r="F20" s="129"/>
      <c r="G20" s="129"/>
      <c r="H20" s="129"/>
      <c r="I20" s="105"/>
      <c r="J20" s="105"/>
      <c r="K20" s="105"/>
      <c r="L20" s="105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</row>
    <row r="22" spans="1:55" x14ac:dyDescent="0.2">
      <c r="B22" s="1" t="s">
        <v>7</v>
      </c>
      <c r="F22" s="2">
        <v>30</v>
      </c>
    </row>
    <row r="23" spans="1:55" x14ac:dyDescent="0.2">
      <c r="B23" s="1" t="s">
        <v>8</v>
      </c>
      <c r="F23" s="2">
        <v>20</v>
      </c>
    </row>
    <row r="25" spans="1:55" x14ac:dyDescent="0.2">
      <c r="B25" s="1" t="s">
        <v>398</v>
      </c>
      <c r="D25" s="230">
        <v>1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</row>
    <row r="26" spans="1:55" x14ac:dyDescent="0.2">
      <c r="B26" s="1" t="s">
        <v>11</v>
      </c>
      <c r="C26" s="130" t="s">
        <v>12</v>
      </c>
      <c r="D26" s="2">
        <v>1</v>
      </c>
      <c r="E26" s="2">
        <f>D26+1</f>
        <v>2</v>
      </c>
      <c r="F26" s="2">
        <f>E26+1</f>
        <v>3</v>
      </c>
      <c r="G26" s="2">
        <f t="shared" ref="G26:AB26" si="3">F26+1</f>
        <v>4</v>
      </c>
      <c r="H26" s="2">
        <f t="shared" si="3"/>
        <v>5</v>
      </c>
      <c r="I26" s="2">
        <f t="shared" si="3"/>
        <v>6</v>
      </c>
      <c r="J26" s="2">
        <f t="shared" si="3"/>
        <v>7</v>
      </c>
      <c r="K26" s="2">
        <f t="shared" si="3"/>
        <v>8</v>
      </c>
      <c r="L26" s="2">
        <f t="shared" si="3"/>
        <v>9</v>
      </c>
      <c r="M26" s="2">
        <f t="shared" si="3"/>
        <v>10</v>
      </c>
      <c r="N26" s="2">
        <f t="shared" si="3"/>
        <v>11</v>
      </c>
      <c r="O26" s="2">
        <f t="shared" si="3"/>
        <v>12</v>
      </c>
      <c r="P26" s="2">
        <f t="shared" si="3"/>
        <v>13</v>
      </c>
      <c r="Q26" s="2">
        <f t="shared" si="3"/>
        <v>14</v>
      </c>
      <c r="R26" s="2">
        <f t="shared" si="3"/>
        <v>15</v>
      </c>
      <c r="S26" s="2">
        <f t="shared" si="3"/>
        <v>16</v>
      </c>
      <c r="T26" s="2">
        <f t="shared" si="3"/>
        <v>17</v>
      </c>
      <c r="U26" s="2">
        <f t="shared" si="3"/>
        <v>18</v>
      </c>
      <c r="V26" s="2">
        <f t="shared" si="3"/>
        <v>19</v>
      </c>
      <c r="W26" s="2">
        <f t="shared" si="3"/>
        <v>20</v>
      </c>
      <c r="X26" s="2">
        <f t="shared" si="3"/>
        <v>21</v>
      </c>
      <c r="Y26" s="2">
        <f t="shared" si="3"/>
        <v>22</v>
      </c>
      <c r="Z26" s="2">
        <f t="shared" si="3"/>
        <v>23</v>
      </c>
      <c r="AA26" s="2">
        <f t="shared" si="3"/>
        <v>24</v>
      </c>
      <c r="AB26" s="2">
        <f t="shared" si="3"/>
        <v>25</v>
      </c>
    </row>
    <row r="27" spans="1:55" x14ac:dyDescent="0.2">
      <c r="B27" s="2" t="s">
        <v>16</v>
      </c>
      <c r="C27" s="91">
        <f>'Assumptions &amp; Costs'!D6</f>
        <v>0</v>
      </c>
      <c r="D27" s="91">
        <f>+'Assumptions &amp; Costs'!$D7</f>
        <v>0</v>
      </c>
      <c r="E27" s="91">
        <f>+'Assumptions &amp; Costs'!$D8</f>
        <v>0</v>
      </c>
      <c r="F27" s="91">
        <f>+'Assumptions &amp; Costs'!$D9*D25</f>
        <v>4</v>
      </c>
      <c r="G27" s="91">
        <f>+'Assumptions &amp; Costs'!$D10*D26</f>
        <v>8</v>
      </c>
      <c r="H27" s="91">
        <f>+'Assumptions &amp; Costs'!$D11*D25</f>
        <v>12</v>
      </c>
      <c r="I27" s="91">
        <f>+'Assumptions &amp; Costs'!$D12*D25</f>
        <v>15</v>
      </c>
      <c r="J27" s="91">
        <f>+'Assumptions &amp; Costs'!$D13*D25</f>
        <v>17</v>
      </c>
      <c r="K27" s="91">
        <f>+'Assumptions &amp; Costs'!$D14*D25</f>
        <v>19</v>
      </c>
      <c r="L27" s="91">
        <f>+'Assumptions &amp; Costs'!$D15*D25</f>
        <v>19</v>
      </c>
      <c r="M27" s="91">
        <f>+'Assumptions &amp; Costs'!$D16*D25</f>
        <v>19</v>
      </c>
      <c r="N27" s="91">
        <f>+M27</f>
        <v>19</v>
      </c>
      <c r="O27" s="91">
        <f t="shared" ref="O27:AB27" si="4">+N27</f>
        <v>19</v>
      </c>
      <c r="P27" s="91">
        <f t="shared" si="4"/>
        <v>19</v>
      </c>
      <c r="Q27" s="91">
        <f t="shared" si="4"/>
        <v>19</v>
      </c>
      <c r="R27" s="91">
        <f t="shared" si="4"/>
        <v>19</v>
      </c>
      <c r="S27" s="91">
        <f t="shared" si="4"/>
        <v>19</v>
      </c>
      <c r="T27" s="91">
        <f t="shared" si="4"/>
        <v>19</v>
      </c>
      <c r="U27" s="91">
        <f t="shared" si="4"/>
        <v>19</v>
      </c>
      <c r="V27" s="91">
        <f t="shared" si="4"/>
        <v>19</v>
      </c>
      <c r="W27" s="91">
        <f t="shared" si="4"/>
        <v>19</v>
      </c>
      <c r="X27" s="91">
        <f t="shared" si="4"/>
        <v>19</v>
      </c>
      <c r="Y27" s="91">
        <f t="shared" si="4"/>
        <v>19</v>
      </c>
      <c r="Z27" s="91">
        <f t="shared" si="4"/>
        <v>19</v>
      </c>
      <c r="AA27" s="91">
        <f t="shared" si="4"/>
        <v>19</v>
      </c>
      <c r="AB27" s="91">
        <f t="shared" si="4"/>
        <v>19</v>
      </c>
      <c r="AC27" s="91"/>
      <c r="AD27" s="91"/>
      <c r="AE27" s="92"/>
    </row>
    <row r="30" spans="1:55" ht="15" x14ac:dyDescent="0.25">
      <c r="A30">
        <v>1</v>
      </c>
      <c r="B30" s="150" t="s">
        <v>427</v>
      </c>
    </row>
    <row r="31" spans="1:55" x14ac:dyDescent="0.2">
      <c r="D31" s="151" t="s">
        <v>428</v>
      </c>
      <c r="E31" s="11"/>
      <c r="F31" s="11"/>
      <c r="G31" s="11"/>
      <c r="H31" s="11"/>
      <c r="I31" s="11"/>
      <c r="J31" s="11"/>
      <c r="K31" s="11"/>
      <c r="L31" s="12"/>
    </row>
    <row r="32" spans="1:55" x14ac:dyDescent="0.2">
      <c r="B32" s="1" t="s">
        <v>2</v>
      </c>
      <c r="C32" s="1" t="s">
        <v>572</v>
      </c>
      <c r="D32" s="13" t="s">
        <v>0</v>
      </c>
      <c r="E32" s="14"/>
      <c r="F32" s="14" t="s">
        <v>37</v>
      </c>
      <c r="G32" s="14" t="s">
        <v>1</v>
      </c>
      <c r="H32" s="14" t="s">
        <v>40</v>
      </c>
      <c r="I32" s="15"/>
      <c r="J32" s="14" t="s">
        <v>4</v>
      </c>
      <c r="K32" s="14" t="s">
        <v>40</v>
      </c>
      <c r="L32" s="18"/>
    </row>
    <row r="33" spans="2:16" x14ac:dyDescent="0.2">
      <c r="B33" s="2" t="s">
        <v>59</v>
      </c>
      <c r="C33" s="1"/>
      <c r="D33" s="13">
        <v>5</v>
      </c>
      <c r="E33" s="15" t="s">
        <v>36</v>
      </c>
      <c r="F33" s="15">
        <v>1</v>
      </c>
      <c r="G33" s="14"/>
      <c r="H33" s="14"/>
      <c r="I33" s="15"/>
      <c r="J33" s="14"/>
      <c r="K33" s="14"/>
      <c r="L33" s="16"/>
    </row>
    <row r="34" spans="2:16" x14ac:dyDescent="0.2">
      <c r="B34" s="2" t="s">
        <v>17</v>
      </c>
      <c r="D34" s="17"/>
      <c r="E34" s="15" t="s">
        <v>36</v>
      </c>
      <c r="F34" s="15">
        <v>1</v>
      </c>
      <c r="G34" s="15"/>
      <c r="H34" s="15"/>
      <c r="I34" s="15"/>
      <c r="J34" s="15" t="s">
        <v>61</v>
      </c>
      <c r="K34" s="15">
        <v>12</v>
      </c>
      <c r="L34" s="18" t="s">
        <v>60</v>
      </c>
    </row>
    <row r="35" spans="2:16" x14ac:dyDescent="0.2">
      <c r="B35" s="2" t="s">
        <v>62</v>
      </c>
      <c r="D35" s="17"/>
      <c r="E35" s="15"/>
      <c r="F35" s="15"/>
      <c r="G35" s="15"/>
      <c r="H35" s="15"/>
      <c r="I35" s="15"/>
      <c r="J35" s="15" t="s">
        <v>20</v>
      </c>
      <c r="K35" s="15">
        <v>0</v>
      </c>
      <c r="L35" s="18" t="s">
        <v>60</v>
      </c>
    </row>
    <row r="36" spans="2:16" x14ac:dyDescent="0.2">
      <c r="B36" s="2" t="s">
        <v>65</v>
      </c>
      <c r="D36" s="17">
        <v>1</v>
      </c>
      <c r="E36" s="15" t="s">
        <v>36</v>
      </c>
      <c r="F36" s="15">
        <v>1</v>
      </c>
      <c r="G36" s="15"/>
      <c r="H36" s="15"/>
      <c r="I36" s="15"/>
      <c r="J36" s="15" t="s">
        <v>20</v>
      </c>
      <c r="K36" s="15">
        <v>0.5</v>
      </c>
      <c r="L36" s="18" t="s">
        <v>60</v>
      </c>
    </row>
    <row r="37" spans="2:16" x14ac:dyDescent="0.2">
      <c r="D37" s="17"/>
      <c r="E37" s="15"/>
      <c r="F37" s="15"/>
      <c r="G37" s="15"/>
      <c r="H37" s="15"/>
      <c r="I37" s="15"/>
      <c r="J37" s="15" t="s">
        <v>53</v>
      </c>
      <c r="K37" s="15">
        <v>0.2</v>
      </c>
      <c r="L37" s="18" t="s">
        <v>60</v>
      </c>
    </row>
    <row r="38" spans="2:16" x14ac:dyDescent="0.2">
      <c r="D38" s="17"/>
      <c r="E38" s="15"/>
      <c r="F38" s="15"/>
      <c r="G38" s="15"/>
      <c r="H38" s="15"/>
      <c r="I38" s="15"/>
      <c r="J38" s="15" t="s">
        <v>54</v>
      </c>
      <c r="K38" s="15">
        <v>0.15</v>
      </c>
      <c r="L38" s="18" t="s">
        <v>60</v>
      </c>
    </row>
    <row r="39" spans="2:16" x14ac:dyDescent="0.2">
      <c r="D39" s="17"/>
      <c r="E39" s="15"/>
      <c r="F39" s="15"/>
      <c r="G39" s="15" t="s">
        <v>66</v>
      </c>
      <c r="H39" s="15">
        <v>1</v>
      </c>
      <c r="I39" s="15" t="s">
        <v>41</v>
      </c>
      <c r="J39" s="15"/>
      <c r="K39" s="15"/>
      <c r="L39" s="18"/>
    </row>
    <row r="40" spans="2:16" x14ac:dyDescent="0.2">
      <c r="B40" s="2" t="s">
        <v>64</v>
      </c>
      <c r="D40" s="17">
        <v>8</v>
      </c>
      <c r="E40" s="15" t="s">
        <v>36</v>
      </c>
      <c r="F40" s="15">
        <v>1</v>
      </c>
      <c r="G40" s="15"/>
      <c r="H40" s="15"/>
      <c r="I40" s="15"/>
      <c r="J40" s="15"/>
      <c r="K40" s="15"/>
      <c r="L40" s="18"/>
    </row>
    <row r="41" spans="2:16" x14ac:dyDescent="0.2">
      <c r="B41" s="2" t="s">
        <v>18</v>
      </c>
      <c r="D41" s="17">
        <v>2</v>
      </c>
      <c r="E41" s="15" t="s">
        <v>36</v>
      </c>
      <c r="F41" s="15">
        <v>1</v>
      </c>
      <c r="G41" s="15" t="s">
        <v>19</v>
      </c>
      <c r="H41" s="15">
        <v>9</v>
      </c>
      <c r="I41" s="15" t="s">
        <v>42</v>
      </c>
      <c r="J41" s="15"/>
      <c r="K41" s="15"/>
      <c r="L41" s="18"/>
    </row>
    <row r="42" spans="2:16" x14ac:dyDescent="0.2">
      <c r="B42" s="2" t="s">
        <v>69</v>
      </c>
      <c r="D42" s="17">
        <v>2</v>
      </c>
      <c r="E42" s="15" t="s">
        <v>36</v>
      </c>
      <c r="F42" s="15">
        <v>1</v>
      </c>
      <c r="G42" s="15"/>
      <c r="H42" s="15"/>
      <c r="I42" s="15"/>
      <c r="J42" s="15" t="s">
        <v>70</v>
      </c>
      <c r="K42" s="15">
        <v>3</v>
      </c>
      <c r="L42" s="18" t="s">
        <v>60</v>
      </c>
    </row>
    <row r="43" spans="2:16" x14ac:dyDescent="0.2">
      <c r="B43" s="2" t="s">
        <v>71</v>
      </c>
      <c r="D43" s="17">
        <v>10</v>
      </c>
      <c r="E43" s="15" t="s">
        <v>36</v>
      </c>
      <c r="F43" s="15">
        <v>1</v>
      </c>
      <c r="G43" s="15" t="s">
        <v>21</v>
      </c>
      <c r="H43" s="94">
        <f>+Nursery!C10</f>
        <v>148.03897499999997</v>
      </c>
      <c r="I43" s="15" t="s">
        <v>41</v>
      </c>
      <c r="J43" s="15"/>
      <c r="K43" s="15"/>
      <c r="L43" s="18"/>
    </row>
    <row r="44" spans="2:16" x14ac:dyDescent="0.2">
      <c r="D44" s="17"/>
      <c r="E44" s="15"/>
      <c r="F44" s="15"/>
      <c r="G44" s="15" t="s">
        <v>22</v>
      </c>
      <c r="H44" s="15">
        <v>1</v>
      </c>
      <c r="I44" s="15" t="s">
        <v>57</v>
      </c>
      <c r="J44" s="15"/>
      <c r="K44" s="15"/>
      <c r="L44" s="18"/>
    </row>
    <row r="45" spans="2:16" x14ac:dyDescent="0.2">
      <c r="D45" s="17"/>
      <c r="E45" s="15"/>
      <c r="F45" s="15"/>
      <c r="G45" s="15" t="s">
        <v>429</v>
      </c>
      <c r="H45" s="15">
        <f>0.5*P46</f>
        <v>0.5</v>
      </c>
      <c r="I45" s="15" t="s">
        <v>396</v>
      </c>
      <c r="J45" s="15"/>
      <c r="K45" s="15"/>
      <c r="L45" s="18"/>
    </row>
    <row r="46" spans="2:16" x14ac:dyDescent="0.2">
      <c r="D46" s="17"/>
      <c r="E46" s="15"/>
      <c r="F46" s="15"/>
      <c r="G46" s="15" t="s">
        <v>425</v>
      </c>
      <c r="H46" s="15">
        <f>0.4*P46</f>
        <v>0.4</v>
      </c>
      <c r="I46" s="105" t="s">
        <v>396</v>
      </c>
      <c r="J46" s="15"/>
      <c r="K46" s="15"/>
      <c r="L46" s="18"/>
      <c r="N46" s="2" t="s">
        <v>571</v>
      </c>
      <c r="P46" s="2">
        <v>1</v>
      </c>
    </row>
    <row r="47" spans="2:16" x14ac:dyDescent="0.2">
      <c r="B47" s="2" t="s">
        <v>68</v>
      </c>
      <c r="D47" s="17">
        <v>6</v>
      </c>
      <c r="E47" s="15" t="s">
        <v>36</v>
      </c>
      <c r="F47" s="15">
        <v>6</v>
      </c>
      <c r="G47" s="15"/>
      <c r="H47" s="15"/>
      <c r="I47" s="15"/>
      <c r="J47" s="15"/>
      <c r="K47" s="15"/>
      <c r="L47" s="18"/>
    </row>
    <row r="48" spans="2:16" x14ac:dyDescent="0.2">
      <c r="B48" s="2" t="s">
        <v>24</v>
      </c>
      <c r="D48" s="17">
        <v>0.5</v>
      </c>
      <c r="E48" s="15" t="s">
        <v>36</v>
      </c>
      <c r="F48" s="15">
        <v>6</v>
      </c>
      <c r="G48" s="15" t="s">
        <v>9</v>
      </c>
      <c r="H48" s="15">
        <v>1</v>
      </c>
      <c r="I48" s="15" t="s">
        <v>43</v>
      </c>
      <c r="J48" s="15"/>
      <c r="K48" s="15"/>
      <c r="L48" s="18"/>
    </row>
    <row r="49" spans="1:55" x14ac:dyDescent="0.2">
      <c r="B49" s="2" t="s">
        <v>23</v>
      </c>
      <c r="D49" s="17">
        <v>4</v>
      </c>
      <c r="E49" s="15" t="s">
        <v>36</v>
      </c>
      <c r="F49" s="15">
        <v>6</v>
      </c>
      <c r="G49" s="15"/>
      <c r="H49" s="15"/>
      <c r="I49" s="15"/>
      <c r="J49" s="15"/>
      <c r="K49" s="15"/>
      <c r="L49" s="18"/>
    </row>
    <row r="50" spans="1:55" x14ac:dyDescent="0.2">
      <c r="B50" s="2" t="s">
        <v>13</v>
      </c>
      <c r="D50" s="17">
        <v>1</v>
      </c>
      <c r="E50" s="15" t="s">
        <v>36</v>
      </c>
      <c r="F50" s="15">
        <v>2</v>
      </c>
      <c r="G50" s="21" t="s">
        <v>430</v>
      </c>
      <c r="H50" s="15">
        <f>0.15*P46</f>
        <v>0.15</v>
      </c>
      <c r="I50" s="15" t="s">
        <v>196</v>
      </c>
      <c r="J50" s="15"/>
      <c r="K50" s="15"/>
      <c r="L50" s="18"/>
    </row>
    <row r="51" spans="1:55" x14ac:dyDescent="0.2">
      <c r="B51" s="2" t="s">
        <v>33</v>
      </c>
      <c r="D51" s="17">
        <v>1</v>
      </c>
      <c r="E51" s="15" t="s">
        <v>36</v>
      </c>
      <c r="F51" s="15">
        <v>1</v>
      </c>
      <c r="G51" s="15" t="s">
        <v>73</v>
      </c>
      <c r="H51" s="15">
        <v>10</v>
      </c>
      <c r="I51" s="15" t="s">
        <v>431</v>
      </c>
      <c r="J51" s="15"/>
      <c r="K51" s="15"/>
      <c r="L51" s="18"/>
    </row>
    <row r="52" spans="1:55" x14ac:dyDescent="0.2">
      <c r="B52" s="2" t="s">
        <v>25</v>
      </c>
      <c r="D52" s="17">
        <v>5</v>
      </c>
      <c r="E52" s="15" t="s">
        <v>36</v>
      </c>
      <c r="F52" s="15">
        <v>1</v>
      </c>
      <c r="G52" s="15"/>
      <c r="H52" s="15"/>
      <c r="I52" s="15"/>
      <c r="J52" s="15"/>
      <c r="K52" s="15"/>
      <c r="L52" s="18"/>
    </row>
    <row r="53" spans="1:55" x14ac:dyDescent="0.2">
      <c r="B53" s="2" t="s">
        <v>26</v>
      </c>
      <c r="D53" s="17">
        <v>16.3</v>
      </c>
      <c r="E53" s="15" t="s">
        <v>36</v>
      </c>
      <c r="F53" s="15">
        <v>1</v>
      </c>
      <c r="G53" s="15"/>
      <c r="H53" s="15"/>
      <c r="I53" s="15"/>
      <c r="J53" s="15"/>
      <c r="K53" s="15"/>
      <c r="L53" s="18"/>
    </row>
    <row r="54" spans="1:55" x14ac:dyDescent="0.2">
      <c r="B54" s="2" t="s">
        <v>31</v>
      </c>
      <c r="D54" s="17">
        <v>5</v>
      </c>
      <c r="E54" s="15" t="s">
        <v>36</v>
      </c>
      <c r="F54" s="15">
        <v>1</v>
      </c>
      <c r="G54" s="15"/>
      <c r="H54" s="15"/>
      <c r="I54" s="15"/>
      <c r="J54" s="15"/>
      <c r="K54" s="15"/>
      <c r="L54" s="18"/>
    </row>
    <row r="55" spans="1:55" x14ac:dyDescent="0.2">
      <c r="B55" s="2" t="s">
        <v>58</v>
      </c>
      <c r="D55" s="17">
        <v>5</v>
      </c>
      <c r="E55" s="15" t="s">
        <v>36</v>
      </c>
      <c r="F55" s="15">
        <v>1</v>
      </c>
      <c r="G55" s="15"/>
      <c r="H55" s="15"/>
      <c r="I55" s="15"/>
      <c r="J55" s="15"/>
      <c r="K55" s="15"/>
      <c r="L55" s="18"/>
    </row>
    <row r="56" spans="1:55" x14ac:dyDescent="0.2">
      <c r="B56" s="2" t="s">
        <v>35</v>
      </c>
      <c r="D56" s="17"/>
      <c r="E56" s="15"/>
      <c r="F56" s="15"/>
      <c r="G56" s="15"/>
      <c r="H56" s="15"/>
      <c r="I56" s="15"/>
      <c r="J56" s="15" t="s">
        <v>70</v>
      </c>
      <c r="K56" s="15">
        <v>0.5</v>
      </c>
      <c r="L56" s="18" t="s">
        <v>60</v>
      </c>
    </row>
    <row r="57" spans="1:55" x14ac:dyDescent="0.2">
      <c r="B57" s="2" t="s">
        <v>75</v>
      </c>
      <c r="D57" s="17"/>
      <c r="E57" s="15"/>
      <c r="F57" s="15"/>
      <c r="G57" s="15"/>
      <c r="H57" s="22">
        <v>0.05</v>
      </c>
      <c r="I57" s="15" t="s">
        <v>74</v>
      </c>
      <c r="J57" s="15"/>
      <c r="K57" s="15"/>
      <c r="L57" s="18"/>
    </row>
    <row r="58" spans="1:55" x14ac:dyDescent="0.2">
      <c r="B58" s="2" t="s">
        <v>46</v>
      </c>
      <c r="D58" s="23">
        <v>0.1</v>
      </c>
      <c r="E58" s="15" t="s">
        <v>44</v>
      </c>
      <c r="F58" s="15"/>
      <c r="G58" s="15"/>
      <c r="H58" s="15"/>
      <c r="I58" s="15"/>
      <c r="J58" s="15"/>
      <c r="K58" s="15"/>
      <c r="L58" s="18"/>
    </row>
    <row r="59" spans="1:55" x14ac:dyDescent="0.2">
      <c r="B59" s="2" t="s">
        <v>47</v>
      </c>
      <c r="D59" s="26">
        <v>0.05</v>
      </c>
      <c r="E59" s="19" t="s">
        <v>44</v>
      </c>
      <c r="F59" s="19"/>
      <c r="G59" s="19"/>
      <c r="H59" s="19"/>
      <c r="I59" s="19"/>
      <c r="J59" s="19"/>
      <c r="K59" s="19"/>
      <c r="L59" s="20"/>
    </row>
    <row r="62" spans="1:55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</row>
    <row r="63" spans="1:55" ht="15" x14ac:dyDescent="0.25">
      <c r="A63" s="150">
        <v>2</v>
      </c>
      <c r="B63" s="150" t="s">
        <v>432</v>
      </c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</row>
    <row r="64" spans="1:55" x14ac:dyDescent="0.2">
      <c r="B64" s="129"/>
      <c r="C64" s="129"/>
      <c r="D64" s="10" t="s">
        <v>28</v>
      </c>
      <c r="E64" s="11"/>
      <c r="F64" s="11"/>
      <c r="G64" s="11"/>
      <c r="H64" s="11"/>
      <c r="I64" s="11"/>
      <c r="J64" s="11"/>
      <c r="K64" s="11"/>
      <c r="L64" s="1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</row>
    <row r="65" spans="2:55" x14ac:dyDescent="0.2">
      <c r="B65" s="1" t="s">
        <v>2</v>
      </c>
      <c r="C65" s="1" t="s">
        <v>3</v>
      </c>
      <c r="D65" s="13" t="s">
        <v>0</v>
      </c>
      <c r="E65" s="14"/>
      <c r="F65" s="14" t="s">
        <v>37</v>
      </c>
      <c r="G65" s="14" t="s">
        <v>1</v>
      </c>
      <c r="H65" s="14" t="s">
        <v>40</v>
      </c>
      <c r="I65" s="15"/>
      <c r="J65" s="14" t="s">
        <v>4</v>
      </c>
      <c r="K65" s="14" t="s">
        <v>40</v>
      </c>
      <c r="L65" s="16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</row>
    <row r="66" spans="2:55" x14ac:dyDescent="0.2">
      <c r="B66" s="129" t="s">
        <v>69</v>
      </c>
      <c r="C66" s="129"/>
      <c r="D66" s="17">
        <v>2</v>
      </c>
      <c r="E66" s="15" t="s">
        <v>36</v>
      </c>
      <c r="F66" s="15">
        <v>1</v>
      </c>
      <c r="G66" s="15"/>
      <c r="H66" s="15"/>
      <c r="I66" s="15"/>
      <c r="J66" s="15" t="s">
        <v>70</v>
      </c>
      <c r="K66" s="15">
        <v>3</v>
      </c>
      <c r="L66" s="18" t="s">
        <v>60</v>
      </c>
      <c r="M66" s="18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</row>
    <row r="67" spans="2:55" x14ac:dyDescent="0.2">
      <c r="B67" s="129" t="s">
        <v>71</v>
      </c>
      <c r="C67" s="129"/>
      <c r="D67" s="17"/>
      <c r="E67" s="15"/>
      <c r="F67" s="15"/>
      <c r="G67" s="15"/>
      <c r="H67" s="15"/>
      <c r="I67" s="15"/>
      <c r="J67" s="15"/>
      <c r="K67" s="15"/>
      <c r="L67" s="18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</row>
    <row r="68" spans="2:55" x14ac:dyDescent="0.2">
      <c r="B68" s="129" t="s">
        <v>38</v>
      </c>
      <c r="C68" s="129"/>
      <c r="D68" s="17">
        <v>0.4</v>
      </c>
      <c r="E68" s="15" t="s">
        <v>36</v>
      </c>
      <c r="F68" s="15">
        <v>1</v>
      </c>
      <c r="G68" s="15" t="s">
        <v>21</v>
      </c>
      <c r="H68" s="15">
        <v>7</v>
      </c>
      <c r="I68" s="15" t="s">
        <v>41</v>
      </c>
      <c r="J68" s="15"/>
      <c r="K68" s="15"/>
      <c r="L68" s="18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</row>
    <row r="69" spans="2:55" x14ac:dyDescent="0.2">
      <c r="B69" s="129"/>
      <c r="C69" s="129"/>
      <c r="D69" s="17"/>
      <c r="E69" s="15"/>
      <c r="F69" s="15"/>
      <c r="G69" s="15" t="s">
        <v>22</v>
      </c>
      <c r="H69" s="15">
        <v>1</v>
      </c>
      <c r="I69" s="15" t="s">
        <v>57</v>
      </c>
      <c r="J69" s="15"/>
      <c r="K69" s="15"/>
      <c r="L69" s="18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</row>
    <row r="70" spans="2:55" x14ac:dyDescent="0.2">
      <c r="B70" s="129"/>
      <c r="C70" s="129"/>
      <c r="D70" s="17"/>
      <c r="E70" s="15"/>
      <c r="F70" s="15"/>
      <c r="G70" s="15" t="s">
        <v>55</v>
      </c>
      <c r="H70" s="15">
        <f>0.5*P46</f>
        <v>0.5</v>
      </c>
      <c r="I70" s="15" t="s">
        <v>56</v>
      </c>
      <c r="J70" s="15"/>
      <c r="K70" s="15"/>
      <c r="L70" s="18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</row>
    <row r="71" spans="2:55" x14ac:dyDescent="0.2">
      <c r="B71" s="129" t="s">
        <v>68</v>
      </c>
      <c r="C71" s="129"/>
      <c r="D71" s="17">
        <v>3</v>
      </c>
      <c r="E71" s="15" t="s">
        <v>36</v>
      </c>
      <c r="F71" s="15">
        <v>6</v>
      </c>
      <c r="G71" s="15"/>
      <c r="H71" s="15"/>
      <c r="I71" s="15"/>
      <c r="J71" s="15"/>
      <c r="K71" s="15"/>
      <c r="L71" s="18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</row>
    <row r="72" spans="2:55" x14ac:dyDescent="0.2">
      <c r="B72" s="129" t="s">
        <v>24</v>
      </c>
      <c r="C72" s="129"/>
      <c r="D72" s="17">
        <v>0.5</v>
      </c>
      <c r="E72" s="15" t="s">
        <v>36</v>
      </c>
      <c r="F72" s="15">
        <v>6</v>
      </c>
      <c r="G72" s="15" t="s">
        <v>9</v>
      </c>
      <c r="H72" s="15">
        <v>1</v>
      </c>
      <c r="I72" s="15" t="s">
        <v>43</v>
      </c>
      <c r="J72" s="15"/>
      <c r="K72" s="15"/>
      <c r="L72" s="18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</row>
    <row r="73" spans="2:55" x14ac:dyDescent="0.2">
      <c r="B73" s="129" t="s">
        <v>23</v>
      </c>
      <c r="C73" s="129"/>
      <c r="D73" s="17">
        <v>2</v>
      </c>
      <c r="E73" s="15" t="s">
        <v>36</v>
      </c>
      <c r="F73" s="15">
        <v>12</v>
      </c>
      <c r="G73" s="15"/>
      <c r="H73" s="15"/>
      <c r="I73" s="15"/>
      <c r="J73" s="15"/>
      <c r="K73" s="15"/>
      <c r="L73" s="18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</row>
    <row r="74" spans="2:55" x14ac:dyDescent="0.2">
      <c r="B74" s="129" t="s">
        <v>13</v>
      </c>
      <c r="C74" s="129"/>
      <c r="D74" s="17">
        <v>1</v>
      </c>
      <c r="E74" s="15" t="s">
        <v>36</v>
      </c>
      <c r="F74" s="15">
        <v>2</v>
      </c>
      <c r="G74" s="21" t="s">
        <v>430</v>
      </c>
      <c r="H74" s="15">
        <f>1.6*P46</f>
        <v>1.6</v>
      </c>
      <c r="I74" s="15" t="s">
        <v>196</v>
      </c>
      <c r="J74" s="15"/>
      <c r="K74" s="15"/>
      <c r="L74" s="18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</row>
    <row r="75" spans="2:55" x14ac:dyDescent="0.2">
      <c r="B75" s="129" t="s">
        <v>32</v>
      </c>
      <c r="C75" s="129"/>
      <c r="D75" s="17"/>
      <c r="E75" s="15"/>
      <c r="F75" s="15"/>
      <c r="G75" s="15"/>
      <c r="H75" s="15"/>
      <c r="I75" s="15"/>
      <c r="J75" s="15"/>
      <c r="K75" s="15"/>
      <c r="L75" s="18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</row>
    <row r="76" spans="2:55" x14ac:dyDescent="0.2">
      <c r="B76" s="129" t="s">
        <v>34</v>
      </c>
      <c r="C76" s="129"/>
      <c r="D76" s="17">
        <v>0.5</v>
      </c>
      <c r="E76" s="15" t="s">
        <v>36</v>
      </c>
      <c r="F76" s="15">
        <v>6</v>
      </c>
      <c r="G76" s="15"/>
      <c r="H76" s="15"/>
      <c r="I76" s="15"/>
      <c r="J76" s="15"/>
      <c r="K76" s="15"/>
      <c r="L76" s="18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</row>
    <row r="77" spans="2:55" x14ac:dyDescent="0.2">
      <c r="B77" s="129" t="s">
        <v>33</v>
      </c>
      <c r="C77" s="129"/>
      <c r="D77" s="17">
        <v>0.2</v>
      </c>
      <c r="E77" s="15" t="s">
        <v>36</v>
      </c>
      <c r="F77" s="15">
        <v>1</v>
      </c>
      <c r="G77" s="15" t="s">
        <v>73</v>
      </c>
      <c r="H77" s="15">
        <v>10</v>
      </c>
      <c r="I77" s="15" t="s">
        <v>431</v>
      </c>
      <c r="J77" s="15"/>
      <c r="K77" s="15"/>
      <c r="L77" s="18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</row>
    <row r="78" spans="2:55" x14ac:dyDescent="0.2">
      <c r="B78" s="129" t="s">
        <v>25</v>
      </c>
      <c r="C78" s="129"/>
      <c r="D78" s="17"/>
      <c r="E78" s="15"/>
      <c r="F78" s="15"/>
      <c r="G78" s="15"/>
      <c r="H78" s="15"/>
      <c r="I78" s="15"/>
      <c r="J78" s="15"/>
      <c r="K78" s="15"/>
      <c r="L78" s="18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</row>
    <row r="79" spans="2:55" x14ac:dyDescent="0.2">
      <c r="B79" s="129" t="s">
        <v>26</v>
      </c>
      <c r="C79" s="129"/>
      <c r="D79" s="17">
        <v>1</v>
      </c>
      <c r="E79" s="15" t="s">
        <v>36</v>
      </c>
      <c r="F79" s="15">
        <v>1</v>
      </c>
      <c r="G79" s="15"/>
      <c r="H79" s="15"/>
      <c r="I79" s="15"/>
      <c r="J79" s="15"/>
      <c r="K79" s="15"/>
      <c r="L79" s="18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</row>
    <row r="80" spans="2:55" x14ac:dyDescent="0.2">
      <c r="B80" s="129" t="s">
        <v>31</v>
      </c>
      <c r="C80" s="129"/>
      <c r="D80" s="17">
        <v>1</v>
      </c>
      <c r="E80" s="15" t="s">
        <v>36</v>
      </c>
      <c r="F80" s="15">
        <v>1</v>
      </c>
      <c r="G80" s="15"/>
      <c r="H80" s="15"/>
      <c r="I80" s="15"/>
      <c r="J80" s="15"/>
      <c r="K80" s="15"/>
      <c r="L80" s="18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</row>
    <row r="81" spans="1:55" x14ac:dyDescent="0.2">
      <c r="B81" s="129" t="s">
        <v>58</v>
      </c>
      <c r="C81" s="129"/>
      <c r="D81" s="17">
        <v>1</v>
      </c>
      <c r="E81" s="15" t="s">
        <v>36</v>
      </c>
      <c r="F81" s="15">
        <v>1</v>
      </c>
      <c r="G81" s="15"/>
      <c r="H81" s="15"/>
      <c r="I81" s="15"/>
      <c r="J81" s="15"/>
      <c r="K81" s="15"/>
      <c r="L81" s="18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</row>
    <row r="82" spans="1:55" x14ac:dyDescent="0.2">
      <c r="B82" s="129" t="s">
        <v>35</v>
      </c>
      <c r="C82" s="129"/>
      <c r="D82" s="17"/>
      <c r="E82" s="15"/>
      <c r="F82" s="15"/>
      <c r="G82" s="15"/>
      <c r="H82" s="15"/>
      <c r="I82" s="15"/>
      <c r="J82" s="15" t="s">
        <v>70</v>
      </c>
      <c r="K82" s="15">
        <v>0.5</v>
      </c>
      <c r="L82" s="18" t="s">
        <v>60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</row>
    <row r="83" spans="1:55" x14ac:dyDescent="0.2">
      <c r="B83" s="129" t="s">
        <v>75</v>
      </c>
      <c r="C83" s="129"/>
      <c r="D83" s="17"/>
      <c r="E83" s="15"/>
      <c r="F83" s="15"/>
      <c r="G83" s="15"/>
      <c r="H83" s="22">
        <v>0.05</v>
      </c>
      <c r="I83" s="15" t="s">
        <v>74</v>
      </c>
      <c r="K83" s="15"/>
      <c r="L83" s="18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</row>
    <row r="84" spans="1:55" x14ac:dyDescent="0.2">
      <c r="B84" s="129" t="s">
        <v>46</v>
      </c>
      <c r="C84" s="129"/>
      <c r="D84" s="23">
        <v>0.1</v>
      </c>
      <c r="E84" s="15" t="s">
        <v>44</v>
      </c>
      <c r="F84" s="15"/>
      <c r="G84" s="15"/>
      <c r="H84" s="15"/>
      <c r="I84" s="15"/>
      <c r="J84" s="15"/>
      <c r="K84" s="15"/>
      <c r="L84" s="18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</row>
    <row r="85" spans="1:55" x14ac:dyDescent="0.2">
      <c r="B85" s="129" t="s">
        <v>47</v>
      </c>
      <c r="C85" s="129"/>
      <c r="D85" s="26">
        <v>0.05</v>
      </c>
      <c r="E85" s="19" t="s">
        <v>44</v>
      </c>
      <c r="F85" s="19"/>
      <c r="G85" s="19"/>
      <c r="H85" s="19"/>
      <c r="I85" s="19"/>
      <c r="J85" s="19"/>
      <c r="K85" s="19"/>
      <c r="L85" s="20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</row>
    <row r="86" spans="1:55" x14ac:dyDescent="0.2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</row>
    <row r="87" spans="1:55" x14ac:dyDescent="0.2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</row>
    <row r="88" spans="1:55" x14ac:dyDescent="0.2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</row>
    <row r="89" spans="1:55" ht="15" x14ac:dyDescent="0.25">
      <c r="A89" s="150">
        <v>3</v>
      </c>
      <c r="B89" s="150" t="s">
        <v>433</v>
      </c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</row>
    <row r="90" spans="1:55" x14ac:dyDescent="0.2">
      <c r="B90" s="129"/>
      <c r="C90" s="129"/>
      <c r="D90" s="10" t="s">
        <v>29</v>
      </c>
      <c r="E90" s="11"/>
      <c r="F90" s="11"/>
      <c r="G90" s="11"/>
      <c r="H90" s="11"/>
      <c r="I90" s="11"/>
      <c r="J90" s="11"/>
      <c r="K90" s="11"/>
      <c r="L90" s="12"/>
      <c r="N90" s="54"/>
      <c r="O90" s="54"/>
      <c r="P90" s="54"/>
      <c r="Q90" s="54"/>
      <c r="R90" s="54"/>
      <c r="S90" s="54"/>
      <c r="T90" s="54"/>
      <c r="U90" s="54"/>
      <c r="V90" s="54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</row>
    <row r="91" spans="1:55" x14ac:dyDescent="0.2">
      <c r="B91" s="1" t="s">
        <v>2</v>
      </c>
      <c r="C91" s="1" t="s">
        <v>3</v>
      </c>
      <c r="D91" s="13" t="s">
        <v>0</v>
      </c>
      <c r="E91" s="14"/>
      <c r="F91" s="14" t="s">
        <v>37</v>
      </c>
      <c r="G91" s="14" t="s">
        <v>1</v>
      </c>
      <c r="H91" s="15"/>
      <c r="I91" s="15"/>
      <c r="J91" s="14" t="s">
        <v>4</v>
      </c>
      <c r="K91" s="14" t="s">
        <v>40</v>
      </c>
      <c r="L91" s="16"/>
      <c r="N91" s="54"/>
      <c r="O91" s="54"/>
      <c r="P91" s="54"/>
      <c r="Q91" s="54"/>
      <c r="R91" s="54"/>
      <c r="S91" s="54"/>
      <c r="T91" s="54"/>
      <c r="U91" s="54"/>
      <c r="V91" s="54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</row>
    <row r="92" spans="1:55" x14ac:dyDescent="0.2">
      <c r="B92" s="129" t="s">
        <v>24</v>
      </c>
      <c r="C92" s="129"/>
      <c r="D92" s="17">
        <v>0.5</v>
      </c>
      <c r="E92" s="15" t="s">
        <v>36</v>
      </c>
      <c r="F92" s="15">
        <v>4</v>
      </c>
      <c r="G92" s="15" t="s">
        <v>9</v>
      </c>
      <c r="H92" s="15">
        <v>1</v>
      </c>
      <c r="I92" s="15" t="s">
        <v>43</v>
      </c>
      <c r="J92" s="15"/>
      <c r="K92" s="15"/>
      <c r="L92" s="18"/>
      <c r="N92" s="54"/>
      <c r="O92" s="54"/>
      <c r="P92" s="54"/>
      <c r="Q92" s="54"/>
      <c r="R92" s="54"/>
      <c r="S92" s="54"/>
      <c r="T92" s="54"/>
      <c r="U92" s="54"/>
      <c r="V92" s="54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</row>
    <row r="93" spans="1:55" x14ac:dyDescent="0.2">
      <c r="B93" s="129" t="s">
        <v>23</v>
      </c>
      <c r="C93" s="129"/>
      <c r="D93" s="17">
        <v>2</v>
      </c>
      <c r="E93" s="15" t="s">
        <v>36</v>
      </c>
      <c r="F93" s="15">
        <v>6</v>
      </c>
      <c r="G93" s="15"/>
      <c r="H93" s="15"/>
      <c r="I93" s="15"/>
      <c r="J93" s="15"/>
      <c r="K93" s="15"/>
      <c r="L93" s="18"/>
      <c r="N93" s="54"/>
      <c r="O93" s="54"/>
      <c r="P93" s="54"/>
      <c r="Q93" s="54"/>
      <c r="R93" s="54"/>
      <c r="S93" s="54"/>
      <c r="T93" s="54"/>
      <c r="U93" s="54"/>
      <c r="V93" s="54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</row>
    <row r="94" spans="1:55" x14ac:dyDescent="0.2">
      <c r="B94" s="129" t="s">
        <v>13</v>
      </c>
      <c r="C94" s="129"/>
      <c r="D94" s="17">
        <v>1</v>
      </c>
      <c r="E94" s="15" t="s">
        <v>36</v>
      </c>
      <c r="F94" s="15">
        <v>2</v>
      </c>
      <c r="G94" s="21" t="s">
        <v>430</v>
      </c>
      <c r="H94" s="15">
        <f>2.5*P46</f>
        <v>2.5</v>
      </c>
      <c r="I94" s="15" t="s">
        <v>196</v>
      </c>
      <c r="J94" s="15"/>
      <c r="K94" s="15"/>
      <c r="L94" s="18"/>
      <c r="N94" s="54"/>
      <c r="O94" s="54"/>
      <c r="P94" s="54"/>
      <c r="Q94" s="54"/>
      <c r="R94" s="54"/>
      <c r="S94" s="54"/>
      <c r="T94" s="54"/>
      <c r="U94" s="54"/>
      <c r="V94" s="54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</row>
    <row r="95" spans="1:55" x14ac:dyDescent="0.2">
      <c r="B95" s="129" t="s">
        <v>32</v>
      </c>
      <c r="C95" s="129"/>
      <c r="D95" s="17"/>
      <c r="E95" s="15" t="s">
        <v>36</v>
      </c>
      <c r="F95" s="15">
        <v>1</v>
      </c>
      <c r="G95" s="15"/>
      <c r="H95" s="15"/>
      <c r="I95" s="15"/>
      <c r="J95" s="15"/>
      <c r="K95" s="15"/>
      <c r="L95" s="18"/>
      <c r="N95" s="54"/>
      <c r="O95" s="54"/>
      <c r="P95" s="54"/>
      <c r="Q95" s="54"/>
      <c r="R95" s="54"/>
      <c r="S95" s="54"/>
      <c r="T95" s="54"/>
      <c r="U95" s="54"/>
      <c r="V95" s="54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</row>
    <row r="96" spans="1:55" x14ac:dyDescent="0.2">
      <c r="B96" s="129" t="s">
        <v>34</v>
      </c>
      <c r="C96" s="129"/>
      <c r="D96" s="17">
        <v>0</v>
      </c>
      <c r="E96" s="15" t="s">
        <v>36</v>
      </c>
      <c r="F96" s="15">
        <v>0</v>
      </c>
      <c r="G96" s="15"/>
      <c r="H96" s="15"/>
      <c r="I96" s="15"/>
      <c r="J96" s="15"/>
      <c r="K96" s="15"/>
      <c r="L96" s="18"/>
      <c r="N96" s="54"/>
      <c r="O96" s="54"/>
      <c r="P96" s="54"/>
      <c r="Q96" s="54"/>
      <c r="R96" s="54"/>
      <c r="S96" s="54"/>
      <c r="T96" s="54"/>
      <c r="U96" s="54"/>
      <c r="V96" s="54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</row>
    <row r="97" spans="1:55" x14ac:dyDescent="0.2">
      <c r="B97" s="129" t="s">
        <v>33</v>
      </c>
      <c r="C97" s="129"/>
      <c r="D97" s="17">
        <v>0.2</v>
      </c>
      <c r="E97" s="15" t="s">
        <v>36</v>
      </c>
      <c r="F97" s="15">
        <v>1</v>
      </c>
      <c r="G97" s="15" t="s">
        <v>73</v>
      </c>
      <c r="H97" s="15">
        <v>10</v>
      </c>
      <c r="I97" s="15" t="s">
        <v>72</v>
      </c>
      <c r="J97" s="15"/>
      <c r="K97" s="15"/>
      <c r="L97" s="18"/>
      <c r="N97" s="54"/>
      <c r="O97" s="54"/>
      <c r="P97" s="54"/>
      <c r="Q97" s="54"/>
      <c r="R97" s="54"/>
      <c r="S97" s="54"/>
      <c r="T97" s="54"/>
      <c r="U97" s="54"/>
      <c r="V97" s="54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</row>
    <row r="98" spans="1:55" x14ac:dyDescent="0.2">
      <c r="B98" s="129" t="s">
        <v>25</v>
      </c>
      <c r="C98" s="129"/>
      <c r="D98" s="17"/>
      <c r="E98" s="15"/>
      <c r="F98" s="15"/>
      <c r="G98" s="15"/>
      <c r="H98" s="15"/>
      <c r="I98" s="15"/>
      <c r="J98" s="15"/>
      <c r="K98" s="15"/>
      <c r="L98" s="18"/>
      <c r="N98" s="54"/>
      <c r="O98" s="54"/>
      <c r="P98" s="54"/>
      <c r="Q98" s="54"/>
      <c r="R98" s="54"/>
      <c r="S98" s="54"/>
      <c r="T98" s="54"/>
      <c r="U98" s="54"/>
      <c r="V98" s="54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</row>
    <row r="99" spans="1:55" x14ac:dyDescent="0.2">
      <c r="B99" s="129" t="s">
        <v>26</v>
      </c>
      <c r="C99" s="129"/>
      <c r="D99" s="17">
        <v>1</v>
      </c>
      <c r="E99" s="15" t="s">
        <v>36</v>
      </c>
      <c r="F99" s="15">
        <v>1</v>
      </c>
      <c r="G99" s="15"/>
      <c r="H99" s="15"/>
      <c r="I99" s="15"/>
      <c r="J99" s="15"/>
      <c r="K99" s="15"/>
      <c r="L99" s="18"/>
      <c r="N99" s="54"/>
      <c r="O99" s="54"/>
      <c r="P99" s="54"/>
      <c r="Q99" s="54"/>
      <c r="R99" s="54"/>
      <c r="S99" s="54"/>
      <c r="T99" s="54"/>
      <c r="U99" s="54"/>
      <c r="V99" s="54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</row>
    <row r="100" spans="1:55" x14ac:dyDescent="0.2">
      <c r="B100" s="129" t="s">
        <v>31</v>
      </c>
      <c r="C100" s="129"/>
      <c r="D100" s="17">
        <v>1</v>
      </c>
      <c r="E100" s="15" t="s">
        <v>36</v>
      </c>
      <c r="F100" s="15">
        <v>1</v>
      </c>
      <c r="G100" s="15"/>
      <c r="H100" s="15"/>
      <c r="I100" s="15"/>
      <c r="J100" s="15"/>
      <c r="K100" s="15"/>
      <c r="L100" s="18"/>
      <c r="N100" s="54"/>
      <c r="O100" s="54"/>
      <c r="P100" s="54"/>
      <c r="Q100" s="54"/>
      <c r="R100" s="54"/>
      <c r="S100" s="54"/>
      <c r="T100" s="54"/>
      <c r="U100" s="54"/>
      <c r="V100" s="54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</row>
    <row r="101" spans="1:55" x14ac:dyDescent="0.2">
      <c r="B101" s="129" t="s">
        <v>58</v>
      </c>
      <c r="C101" s="129"/>
      <c r="D101" s="17">
        <v>1</v>
      </c>
      <c r="E101" s="15" t="s">
        <v>36</v>
      </c>
      <c r="F101" s="15">
        <v>1</v>
      </c>
      <c r="G101" s="15"/>
      <c r="H101" s="15"/>
      <c r="I101" s="15"/>
      <c r="J101" s="15"/>
      <c r="K101" s="15"/>
      <c r="L101" s="18"/>
      <c r="N101" s="54"/>
      <c r="O101" s="54"/>
      <c r="P101" s="54"/>
      <c r="Q101" s="54"/>
      <c r="R101" s="54"/>
      <c r="S101" s="54"/>
      <c r="T101" s="54"/>
      <c r="U101" s="54"/>
      <c r="V101" s="54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</row>
    <row r="102" spans="1:55" x14ac:dyDescent="0.2">
      <c r="B102" s="129" t="s">
        <v>35</v>
      </c>
      <c r="C102" s="129"/>
      <c r="D102" s="17"/>
      <c r="E102" s="15"/>
      <c r="F102" s="15"/>
      <c r="G102" s="15"/>
      <c r="H102" s="15"/>
      <c r="I102" s="15"/>
      <c r="J102" s="15" t="s">
        <v>70</v>
      </c>
      <c r="K102" s="15">
        <v>0.5</v>
      </c>
      <c r="L102" s="18" t="s">
        <v>60</v>
      </c>
      <c r="N102" s="54"/>
      <c r="O102" s="54"/>
      <c r="P102" s="54"/>
      <c r="Q102" s="54"/>
      <c r="R102" s="54"/>
      <c r="S102" s="54"/>
      <c r="T102" s="54"/>
      <c r="U102" s="54"/>
      <c r="V102" s="54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</row>
    <row r="103" spans="1:55" x14ac:dyDescent="0.2">
      <c r="B103" s="129" t="s">
        <v>75</v>
      </c>
      <c r="C103" s="129"/>
      <c r="D103" s="17"/>
      <c r="E103" s="15"/>
      <c r="F103" s="15"/>
      <c r="G103" s="15"/>
      <c r="H103" s="22">
        <v>0.05</v>
      </c>
      <c r="I103" s="15" t="s">
        <v>74</v>
      </c>
      <c r="J103" s="15"/>
      <c r="K103" s="15"/>
      <c r="L103" s="18"/>
      <c r="N103" s="54"/>
      <c r="O103" s="54"/>
      <c r="P103" s="54"/>
      <c r="Q103" s="54"/>
      <c r="R103" s="54"/>
      <c r="S103" s="54"/>
      <c r="T103" s="54"/>
      <c r="U103" s="54"/>
      <c r="V103" s="54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</row>
    <row r="104" spans="1:55" x14ac:dyDescent="0.2">
      <c r="B104" s="129" t="s">
        <v>46</v>
      </c>
      <c r="C104" s="129"/>
      <c r="D104" s="23">
        <v>0.1</v>
      </c>
      <c r="E104" s="15" t="s">
        <v>44</v>
      </c>
      <c r="F104" s="15"/>
      <c r="G104" s="15"/>
      <c r="H104" s="15"/>
      <c r="I104" s="15"/>
      <c r="J104" s="15"/>
      <c r="K104" s="15"/>
      <c r="L104" s="18"/>
      <c r="N104" s="54"/>
      <c r="O104" s="54"/>
      <c r="P104" s="54"/>
      <c r="Q104" s="54"/>
      <c r="R104" s="54"/>
      <c r="S104" s="54"/>
      <c r="T104" s="54"/>
      <c r="U104" s="54"/>
      <c r="V104" s="54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</row>
    <row r="105" spans="1:55" x14ac:dyDescent="0.2">
      <c r="B105" s="129" t="s">
        <v>47</v>
      </c>
      <c r="C105" s="129"/>
      <c r="D105" s="26">
        <v>0.05</v>
      </c>
      <c r="E105" s="19" t="s">
        <v>44</v>
      </c>
      <c r="F105" s="19"/>
      <c r="G105" s="19"/>
      <c r="H105" s="19"/>
      <c r="I105" s="19"/>
      <c r="J105" s="19"/>
      <c r="K105" s="19"/>
      <c r="L105" s="20"/>
      <c r="N105" s="54"/>
      <c r="O105" s="54"/>
      <c r="P105" s="54"/>
      <c r="Q105" s="54"/>
      <c r="R105" s="54"/>
      <c r="S105" s="54"/>
      <c r="T105" s="54"/>
      <c r="U105" s="54"/>
      <c r="V105" s="54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</row>
    <row r="106" spans="1:55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</row>
    <row r="107" spans="1:55" x14ac:dyDescent="0.2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</row>
    <row r="108" spans="1:55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</row>
    <row r="109" spans="1:55" ht="15" x14ac:dyDescent="0.25">
      <c r="A109" s="150">
        <v>4</v>
      </c>
      <c r="B109" s="150" t="s">
        <v>434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</row>
    <row r="110" spans="1:55" x14ac:dyDescent="0.2">
      <c r="B110" s="129"/>
      <c r="C110" s="129"/>
      <c r="D110" s="10" t="s">
        <v>39</v>
      </c>
      <c r="E110" s="11"/>
      <c r="F110" s="11"/>
      <c r="G110" s="11"/>
      <c r="H110" s="11"/>
      <c r="I110" s="11"/>
      <c r="J110" s="11"/>
      <c r="K110" s="11"/>
      <c r="L110" s="12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</row>
    <row r="111" spans="1:55" x14ac:dyDescent="0.2">
      <c r="B111" s="1" t="s">
        <v>2</v>
      </c>
      <c r="C111" s="1" t="s">
        <v>3</v>
      </c>
      <c r="D111" s="13" t="s">
        <v>0</v>
      </c>
      <c r="E111" s="14"/>
      <c r="F111" s="14" t="s">
        <v>37</v>
      </c>
      <c r="G111" s="14" t="s">
        <v>1</v>
      </c>
      <c r="H111" s="15"/>
      <c r="I111" s="15"/>
      <c r="J111" s="14" t="s">
        <v>4</v>
      </c>
      <c r="K111" s="14" t="s">
        <v>40</v>
      </c>
      <c r="L111" s="16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</row>
    <row r="112" spans="1:55" x14ac:dyDescent="0.2">
      <c r="B112" s="129" t="s">
        <v>68</v>
      </c>
      <c r="C112" s="129"/>
      <c r="D112" s="17"/>
      <c r="E112" s="15" t="s">
        <v>36</v>
      </c>
      <c r="F112" s="15"/>
      <c r="G112" s="15"/>
      <c r="H112" s="15"/>
      <c r="I112" s="15"/>
      <c r="J112" s="15"/>
      <c r="K112" s="15"/>
      <c r="L112" s="18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  <c r="BC112" s="129"/>
    </row>
    <row r="113" spans="2:55" x14ac:dyDescent="0.2">
      <c r="B113" s="129" t="s">
        <v>24</v>
      </c>
      <c r="C113" s="129"/>
      <c r="D113" s="17">
        <v>0.5</v>
      </c>
      <c r="E113" s="15" t="s">
        <v>36</v>
      </c>
      <c r="F113" s="15">
        <v>1</v>
      </c>
      <c r="G113" s="15" t="s">
        <v>27</v>
      </c>
      <c r="H113" s="15">
        <v>1</v>
      </c>
      <c r="I113" s="15" t="s">
        <v>43</v>
      </c>
      <c r="J113" s="15"/>
      <c r="K113" s="15"/>
      <c r="L113" s="18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</row>
    <row r="114" spans="2:55" x14ac:dyDescent="0.2">
      <c r="B114" s="129" t="s">
        <v>23</v>
      </c>
      <c r="C114" s="129"/>
      <c r="D114" s="17">
        <v>2</v>
      </c>
      <c r="E114" s="15" t="s">
        <v>36</v>
      </c>
      <c r="F114" s="15">
        <v>3</v>
      </c>
      <c r="G114" s="15"/>
      <c r="H114" s="15"/>
      <c r="I114" s="15"/>
      <c r="J114" s="15"/>
      <c r="K114" s="15"/>
      <c r="L114" s="18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</row>
    <row r="115" spans="2:55" x14ac:dyDescent="0.2">
      <c r="B115" s="129" t="s">
        <v>13</v>
      </c>
      <c r="C115" s="129"/>
      <c r="D115" s="17">
        <v>1</v>
      </c>
      <c r="E115" s="15" t="s">
        <v>36</v>
      </c>
      <c r="F115" s="15">
        <v>2</v>
      </c>
      <c r="G115" s="21" t="s">
        <v>430</v>
      </c>
      <c r="H115" s="15">
        <f>2.5*P46</f>
        <v>2.5</v>
      </c>
      <c r="I115" s="15" t="s">
        <v>196</v>
      </c>
      <c r="J115" s="15"/>
      <c r="K115" s="15"/>
      <c r="L115" s="18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</row>
    <row r="116" spans="2:55" x14ac:dyDescent="0.2">
      <c r="B116" s="129" t="s">
        <v>32</v>
      </c>
      <c r="C116" s="129"/>
      <c r="D116" s="17">
        <v>2</v>
      </c>
      <c r="E116" s="15" t="s">
        <v>36</v>
      </c>
      <c r="F116" s="15">
        <v>1</v>
      </c>
      <c r="G116" s="15"/>
      <c r="H116" s="15"/>
      <c r="I116" s="15"/>
      <c r="J116" s="15"/>
      <c r="K116" s="15"/>
      <c r="L116" s="18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</row>
    <row r="117" spans="2:55" x14ac:dyDescent="0.2">
      <c r="B117" s="129" t="s">
        <v>34</v>
      </c>
      <c r="C117" s="129"/>
      <c r="D117" s="17">
        <v>0.5</v>
      </c>
      <c r="E117" s="105" t="s">
        <v>36</v>
      </c>
      <c r="F117" s="15">
        <v>6</v>
      </c>
      <c r="G117" s="15"/>
      <c r="H117" s="15"/>
      <c r="I117" s="15"/>
      <c r="J117" s="15"/>
      <c r="K117" s="15"/>
      <c r="L117" s="18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</row>
    <row r="118" spans="2:55" x14ac:dyDescent="0.2">
      <c r="B118" s="129" t="s">
        <v>33</v>
      </c>
      <c r="C118" s="129"/>
      <c r="D118" s="17">
        <v>0.2</v>
      </c>
      <c r="E118" s="15" t="s">
        <v>36</v>
      </c>
      <c r="F118" s="15">
        <v>1</v>
      </c>
      <c r="G118" s="15" t="s">
        <v>73</v>
      </c>
      <c r="H118" s="15">
        <v>10</v>
      </c>
      <c r="I118" s="15" t="s">
        <v>72</v>
      </c>
      <c r="J118" s="15"/>
      <c r="K118" s="15"/>
      <c r="L118" s="18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</row>
    <row r="119" spans="2:55" x14ac:dyDescent="0.2">
      <c r="B119" s="129" t="s">
        <v>25</v>
      </c>
      <c r="C119" s="129"/>
      <c r="D119" s="17"/>
      <c r="E119" s="15" t="s">
        <v>36</v>
      </c>
      <c r="F119" s="15">
        <v>1</v>
      </c>
      <c r="G119" s="15"/>
      <c r="H119" s="15"/>
      <c r="I119" s="15"/>
      <c r="J119" s="15"/>
      <c r="K119" s="15"/>
      <c r="L119" s="18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</row>
    <row r="120" spans="2:55" x14ac:dyDescent="0.2">
      <c r="B120" s="129" t="s">
        <v>26</v>
      </c>
      <c r="C120" s="129"/>
      <c r="D120" s="17">
        <v>0.5</v>
      </c>
      <c r="E120" s="15" t="s">
        <v>36</v>
      </c>
      <c r="F120" s="15">
        <v>1</v>
      </c>
      <c r="G120" s="15"/>
      <c r="H120" s="15"/>
      <c r="I120" s="15"/>
      <c r="J120" s="15"/>
      <c r="K120" s="15"/>
      <c r="L120" s="18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</row>
    <row r="121" spans="2:55" x14ac:dyDescent="0.2">
      <c r="B121" s="129" t="s">
        <v>31</v>
      </c>
      <c r="C121" s="129"/>
      <c r="D121" s="17">
        <v>0.5</v>
      </c>
      <c r="E121" s="15" t="s">
        <v>36</v>
      </c>
      <c r="F121" s="15">
        <v>1</v>
      </c>
      <c r="G121" s="15"/>
      <c r="H121" s="15"/>
      <c r="I121" s="15"/>
      <c r="J121" s="15"/>
      <c r="K121" s="15"/>
      <c r="L121" s="18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</row>
    <row r="122" spans="2:55" x14ac:dyDescent="0.2">
      <c r="B122" s="129" t="s">
        <v>58</v>
      </c>
      <c r="C122" s="129"/>
      <c r="D122" s="17">
        <v>0.5</v>
      </c>
      <c r="E122" s="15" t="s">
        <v>36</v>
      </c>
      <c r="F122" s="15">
        <v>1</v>
      </c>
      <c r="G122" s="15"/>
      <c r="H122" s="15"/>
      <c r="I122" s="15"/>
      <c r="J122" s="15"/>
      <c r="K122" s="15"/>
      <c r="L122" s="18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</row>
    <row r="123" spans="2:55" x14ac:dyDescent="0.2">
      <c r="B123" s="129" t="s">
        <v>35</v>
      </c>
      <c r="C123" s="129"/>
      <c r="D123" s="17"/>
      <c r="E123" s="15"/>
      <c r="F123" s="15"/>
      <c r="G123" s="15"/>
      <c r="H123" s="15"/>
      <c r="I123" s="15"/>
      <c r="J123" s="15" t="s">
        <v>70</v>
      </c>
      <c r="K123" s="15">
        <v>0.5</v>
      </c>
      <c r="L123" s="18" t="s">
        <v>60</v>
      </c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</row>
    <row r="124" spans="2:55" x14ac:dyDescent="0.2">
      <c r="B124" s="129" t="s">
        <v>75</v>
      </c>
      <c r="C124" s="129"/>
      <c r="D124" s="17"/>
      <c r="E124" s="15"/>
      <c r="F124" s="15"/>
      <c r="G124" s="15"/>
      <c r="H124" s="22">
        <v>0.05</v>
      </c>
      <c r="I124" s="15" t="s">
        <v>74</v>
      </c>
      <c r="J124" s="15"/>
      <c r="K124" s="15"/>
      <c r="L124" s="18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</row>
    <row r="125" spans="2:55" x14ac:dyDescent="0.2">
      <c r="B125" s="129" t="s">
        <v>46</v>
      </c>
      <c r="C125" s="129"/>
      <c r="D125" s="23">
        <v>0.1</v>
      </c>
      <c r="E125" s="15" t="s">
        <v>44</v>
      </c>
      <c r="F125" s="15"/>
      <c r="G125" s="15"/>
      <c r="H125" s="15"/>
      <c r="I125" s="15"/>
      <c r="J125" s="15"/>
      <c r="K125" s="15"/>
      <c r="L125" s="18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</row>
    <row r="126" spans="2:55" x14ac:dyDescent="0.2">
      <c r="B126" s="129" t="s">
        <v>47</v>
      </c>
      <c r="C126" s="129"/>
      <c r="D126" s="26">
        <v>0.05</v>
      </c>
      <c r="E126" s="19" t="s">
        <v>44</v>
      </c>
      <c r="F126" s="19"/>
      <c r="G126" s="19"/>
      <c r="H126" s="19"/>
      <c r="I126" s="19"/>
      <c r="J126" s="19"/>
      <c r="K126" s="19"/>
      <c r="L126" s="20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</row>
    <row r="127" spans="2:55" x14ac:dyDescent="0.2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</row>
    <row r="128" spans="2:55" x14ac:dyDescent="0.2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</row>
    <row r="130" spans="2:14" x14ac:dyDescent="0.2">
      <c r="B130" s="1" t="s">
        <v>76</v>
      </c>
    </row>
    <row r="131" spans="2:14" x14ac:dyDescent="0.2">
      <c r="B131" s="1"/>
      <c r="M131" s="129"/>
      <c r="N131" s="129"/>
    </row>
    <row r="132" spans="2:14" ht="14.25" customHeight="1" x14ac:dyDescent="0.2">
      <c r="B132" s="1" t="s">
        <v>2</v>
      </c>
      <c r="C132" s="1" t="s">
        <v>3</v>
      </c>
      <c r="D132" s="25" t="s">
        <v>0</v>
      </c>
      <c r="E132" s="24"/>
      <c r="F132" s="24" t="s">
        <v>37</v>
      </c>
      <c r="G132" s="24" t="s">
        <v>1</v>
      </c>
      <c r="H132" s="24" t="s">
        <v>40</v>
      </c>
      <c r="I132" s="11"/>
      <c r="J132" s="24" t="s">
        <v>4</v>
      </c>
      <c r="K132" s="24" t="s">
        <v>40</v>
      </c>
      <c r="L132" s="12"/>
      <c r="M132" s="129"/>
      <c r="N132" s="129"/>
    </row>
    <row r="133" spans="2:14" x14ac:dyDescent="0.2">
      <c r="B133" s="2" t="s">
        <v>82</v>
      </c>
      <c r="C133" s="1"/>
      <c r="D133" s="17">
        <v>0.5</v>
      </c>
      <c r="E133" s="15" t="s">
        <v>36</v>
      </c>
      <c r="F133" s="15">
        <v>2</v>
      </c>
      <c r="G133" s="14"/>
      <c r="H133" s="14"/>
      <c r="I133" s="15"/>
      <c r="J133" s="14"/>
      <c r="K133" s="14"/>
      <c r="L133" s="18"/>
      <c r="M133" s="129"/>
      <c r="N133" s="129"/>
    </row>
    <row r="134" spans="2:14" x14ac:dyDescent="0.2">
      <c r="B134" s="2" t="s">
        <v>81</v>
      </c>
      <c r="D134" s="17">
        <v>0.5</v>
      </c>
      <c r="E134" s="15" t="s">
        <v>36</v>
      </c>
      <c r="F134" s="15">
        <v>4</v>
      </c>
      <c r="G134" s="15" t="s">
        <v>9</v>
      </c>
      <c r="H134" s="15">
        <v>1</v>
      </c>
      <c r="I134" s="15" t="s">
        <v>43</v>
      </c>
      <c r="J134" s="15"/>
      <c r="K134" s="15"/>
      <c r="L134" s="18"/>
      <c r="M134" s="129"/>
      <c r="N134" s="129"/>
    </row>
    <row r="135" spans="2:14" x14ac:dyDescent="0.2">
      <c r="B135" s="2" t="s">
        <v>78</v>
      </c>
      <c r="D135" s="17">
        <v>0.2</v>
      </c>
      <c r="E135" s="15" t="s">
        <v>36</v>
      </c>
      <c r="F135" s="15">
        <v>4</v>
      </c>
      <c r="G135" s="15" t="s">
        <v>9</v>
      </c>
      <c r="H135" s="15">
        <v>1</v>
      </c>
      <c r="I135" s="15" t="s">
        <v>43</v>
      </c>
      <c r="J135" s="15"/>
      <c r="K135" s="15"/>
      <c r="L135" s="18"/>
      <c r="M135" s="129"/>
      <c r="N135" s="129"/>
    </row>
    <row r="136" spans="2:14" x14ac:dyDescent="0.2">
      <c r="B136" s="2" t="s">
        <v>13</v>
      </c>
      <c r="D136" s="17">
        <v>1</v>
      </c>
      <c r="E136" s="15" t="s">
        <v>36</v>
      </c>
      <c r="F136" s="15">
        <v>2</v>
      </c>
      <c r="G136" s="21" t="s">
        <v>430</v>
      </c>
      <c r="H136" s="15">
        <f>2.5*P46</f>
        <v>2.5</v>
      </c>
      <c r="I136" s="15" t="s">
        <v>196</v>
      </c>
      <c r="J136" s="15"/>
      <c r="K136" s="15"/>
      <c r="L136" s="18"/>
      <c r="M136" s="129"/>
      <c r="N136" s="129"/>
    </row>
    <row r="137" spans="2:14" x14ac:dyDescent="0.2">
      <c r="B137" s="2" t="s">
        <v>32</v>
      </c>
      <c r="D137" s="17">
        <v>1</v>
      </c>
      <c r="E137" s="15" t="s">
        <v>36</v>
      </c>
      <c r="F137" s="15">
        <v>1</v>
      </c>
      <c r="G137" s="15"/>
      <c r="H137" s="15"/>
      <c r="I137" s="15"/>
      <c r="J137" s="15"/>
      <c r="K137" s="15"/>
      <c r="L137" s="18"/>
      <c r="M137" s="129"/>
      <c r="N137" s="129"/>
    </row>
    <row r="138" spans="2:14" x14ac:dyDescent="0.2">
      <c r="B138" s="2" t="s">
        <v>84</v>
      </c>
      <c r="D138" s="17">
        <v>0.5</v>
      </c>
      <c r="E138" s="15" t="s">
        <v>36</v>
      </c>
      <c r="F138" s="15">
        <v>1</v>
      </c>
      <c r="G138" s="15"/>
      <c r="H138" s="15"/>
      <c r="I138" s="15"/>
      <c r="J138" s="15"/>
      <c r="K138" s="15"/>
      <c r="L138" s="18"/>
      <c r="M138" s="129"/>
      <c r="N138" s="129"/>
    </row>
    <row r="139" spans="2:14" x14ac:dyDescent="0.2">
      <c r="B139" s="2" t="s">
        <v>33</v>
      </c>
      <c r="D139" s="17">
        <v>1</v>
      </c>
      <c r="E139" s="15" t="s">
        <v>36</v>
      </c>
      <c r="F139" s="15">
        <v>1</v>
      </c>
      <c r="G139" s="15" t="s">
        <v>73</v>
      </c>
      <c r="H139" s="15">
        <v>10</v>
      </c>
      <c r="I139" s="15" t="s">
        <v>72</v>
      </c>
      <c r="J139" s="15"/>
      <c r="K139" s="15"/>
      <c r="L139" s="18"/>
      <c r="M139" s="129"/>
      <c r="N139" s="129"/>
    </row>
    <row r="140" spans="2:14" x14ac:dyDescent="0.2">
      <c r="B140" s="2" t="s">
        <v>79</v>
      </c>
      <c r="D140" s="17">
        <v>0.1</v>
      </c>
      <c r="E140" s="15" t="s">
        <v>36</v>
      </c>
      <c r="F140" s="15">
        <v>2</v>
      </c>
      <c r="G140" s="15"/>
      <c r="H140" s="15"/>
      <c r="I140" s="15"/>
      <c r="J140" s="15"/>
      <c r="K140" s="15"/>
      <c r="L140" s="18"/>
      <c r="M140" s="129"/>
      <c r="N140" s="129"/>
    </row>
    <row r="141" spans="2:14" x14ac:dyDescent="0.2">
      <c r="B141" s="2" t="s">
        <v>80</v>
      </c>
      <c r="D141" s="17">
        <v>0.1</v>
      </c>
      <c r="E141" s="15" t="s">
        <v>36</v>
      </c>
      <c r="F141" s="15">
        <v>2</v>
      </c>
      <c r="G141" s="15"/>
      <c r="H141" s="15"/>
      <c r="I141" s="15"/>
      <c r="J141" s="15"/>
      <c r="K141" s="15"/>
      <c r="L141" s="18"/>
      <c r="M141" s="129"/>
      <c r="N141" s="129"/>
    </row>
    <row r="142" spans="2:14" x14ac:dyDescent="0.2">
      <c r="B142" s="2" t="s">
        <v>58</v>
      </c>
      <c r="D142" s="17">
        <v>0.1</v>
      </c>
      <c r="E142" s="15" t="s">
        <v>36</v>
      </c>
      <c r="F142" s="15">
        <v>2</v>
      </c>
      <c r="G142" s="15"/>
      <c r="H142" s="15"/>
      <c r="I142" s="15"/>
      <c r="J142" s="15"/>
      <c r="K142" s="15"/>
      <c r="L142" s="18"/>
      <c r="M142" s="129"/>
      <c r="N142" s="129"/>
    </row>
    <row r="143" spans="2:14" x14ac:dyDescent="0.2">
      <c r="B143" s="2" t="s">
        <v>83</v>
      </c>
      <c r="D143" s="17">
        <v>1</v>
      </c>
      <c r="E143" s="15" t="s">
        <v>36</v>
      </c>
      <c r="F143" s="15">
        <v>2</v>
      </c>
      <c r="G143" s="15"/>
      <c r="H143" s="15"/>
      <c r="I143" s="15"/>
      <c r="J143" s="15"/>
      <c r="K143" s="15"/>
      <c r="L143" s="18"/>
      <c r="M143" s="129"/>
      <c r="N143" s="129"/>
    </row>
    <row r="144" spans="2:14" x14ac:dyDescent="0.2">
      <c r="B144" s="2" t="s">
        <v>35</v>
      </c>
      <c r="D144" s="17"/>
      <c r="E144" s="15"/>
      <c r="F144" s="15"/>
      <c r="G144" s="15"/>
      <c r="H144" s="15"/>
      <c r="I144" s="15"/>
      <c r="J144" s="15" t="s">
        <v>70</v>
      </c>
      <c r="K144" s="15">
        <v>0.5</v>
      </c>
      <c r="L144" s="18" t="s">
        <v>60</v>
      </c>
    </row>
    <row r="145" spans="2:12" x14ac:dyDescent="0.2">
      <c r="B145" s="2" t="s">
        <v>75</v>
      </c>
      <c r="D145" s="17"/>
      <c r="E145" s="15"/>
      <c r="F145" s="15"/>
      <c r="G145" s="15"/>
      <c r="H145" s="22">
        <v>0.05</v>
      </c>
      <c r="I145" s="15" t="s">
        <v>74</v>
      </c>
      <c r="J145" s="15"/>
      <c r="K145" s="15"/>
      <c r="L145" s="18"/>
    </row>
    <row r="146" spans="2:12" x14ac:dyDescent="0.2">
      <c r="B146" s="2" t="s">
        <v>46</v>
      </c>
      <c r="D146" s="23">
        <v>0.1</v>
      </c>
      <c r="E146" s="15" t="s">
        <v>44</v>
      </c>
      <c r="F146" s="15"/>
      <c r="G146" s="15"/>
      <c r="H146" s="15"/>
      <c r="I146" s="15"/>
      <c r="J146" s="15"/>
      <c r="K146" s="15"/>
      <c r="L146" s="18"/>
    </row>
    <row r="147" spans="2:12" x14ac:dyDescent="0.2">
      <c r="B147" s="2" t="s">
        <v>47</v>
      </c>
      <c r="D147" s="26">
        <v>0.05</v>
      </c>
      <c r="E147" s="19" t="s">
        <v>44</v>
      </c>
      <c r="F147" s="19"/>
      <c r="G147" s="19"/>
      <c r="H147" s="19"/>
      <c r="I147" s="19"/>
      <c r="J147" s="19"/>
      <c r="K147" s="19"/>
      <c r="L147" s="20"/>
    </row>
    <row r="150" spans="2:12" x14ac:dyDescent="0.2">
      <c r="B150" s="54"/>
      <c r="C150" s="54"/>
      <c r="D150" s="54"/>
      <c r="E150" s="54"/>
      <c r="F150" s="54"/>
      <c r="G150" s="54"/>
    </row>
    <row r="151" spans="2:12" x14ac:dyDescent="0.2">
      <c r="B151" s="54"/>
      <c r="C151" s="54"/>
      <c r="D151" s="54"/>
      <c r="E151" s="54"/>
      <c r="F151" s="54"/>
      <c r="G151" s="54"/>
    </row>
    <row r="152" spans="2:12" x14ac:dyDescent="0.2">
      <c r="B152" s="54"/>
      <c r="C152" s="54"/>
      <c r="D152" s="54"/>
      <c r="E152" s="54"/>
      <c r="F152" s="54"/>
      <c r="G152" s="54"/>
    </row>
    <row r="153" spans="2:12" x14ac:dyDescent="0.2">
      <c r="B153" s="54"/>
      <c r="C153" s="54"/>
      <c r="D153" s="54"/>
      <c r="E153" s="54"/>
      <c r="F153" s="54"/>
      <c r="G153" s="54"/>
    </row>
    <row r="154" spans="2:12" x14ac:dyDescent="0.2">
      <c r="B154" s="54"/>
      <c r="C154" s="54"/>
      <c r="D154" s="54"/>
      <c r="E154" s="54"/>
      <c r="F154" s="54"/>
      <c r="G154" s="54"/>
    </row>
    <row r="155" spans="2:12" x14ac:dyDescent="0.2">
      <c r="B155" s="54"/>
      <c r="C155" s="54"/>
      <c r="D155" s="54"/>
      <c r="E155" s="54"/>
      <c r="F155" s="54"/>
      <c r="G155" s="54"/>
    </row>
    <row r="156" spans="2:12" x14ac:dyDescent="0.2">
      <c r="B156" s="54"/>
      <c r="C156" s="54"/>
      <c r="D156" s="54"/>
      <c r="E156" s="54"/>
      <c r="F156" s="54"/>
      <c r="G156" s="54"/>
    </row>
    <row r="157" spans="2:12" x14ac:dyDescent="0.2">
      <c r="B157" s="54"/>
      <c r="C157" s="54"/>
      <c r="D157" s="54"/>
      <c r="E157" s="54"/>
      <c r="F157" s="54"/>
      <c r="G157" s="54"/>
    </row>
    <row r="158" spans="2:12" x14ac:dyDescent="0.2">
      <c r="B158" s="54"/>
      <c r="C158" s="54"/>
      <c r="D158" s="54"/>
      <c r="E158" s="54"/>
      <c r="F158" s="54"/>
      <c r="G158" s="54"/>
    </row>
    <row r="159" spans="2:12" x14ac:dyDescent="0.2">
      <c r="B159" s="54"/>
      <c r="C159" s="54"/>
      <c r="D159" s="54"/>
      <c r="E159" s="54"/>
      <c r="F159" s="54"/>
      <c r="G159" s="54"/>
    </row>
    <row r="160" spans="2:12" x14ac:dyDescent="0.2">
      <c r="B160" s="54"/>
      <c r="C160" s="54"/>
      <c r="D160" s="54"/>
      <c r="E160" s="54"/>
      <c r="F160" s="54"/>
      <c r="G160" s="54"/>
    </row>
    <row r="161" spans="2:7" x14ac:dyDescent="0.2">
      <c r="B161" s="54"/>
      <c r="C161" s="54"/>
      <c r="D161" s="54"/>
      <c r="E161" s="54"/>
      <c r="F161" s="54"/>
      <c r="G161" s="54"/>
    </row>
    <row r="162" spans="2:7" x14ac:dyDescent="0.2">
      <c r="B162" s="54"/>
      <c r="C162" s="54"/>
      <c r="D162" s="54"/>
      <c r="E162" s="54"/>
      <c r="F162" s="54"/>
      <c r="G162" s="54"/>
    </row>
    <row r="163" spans="2:7" x14ac:dyDescent="0.2">
      <c r="B163" s="54"/>
      <c r="C163" s="54"/>
      <c r="D163" s="54"/>
      <c r="E163" s="54"/>
      <c r="F163" s="54"/>
      <c r="G163" s="54"/>
    </row>
    <row r="164" spans="2:7" x14ac:dyDescent="0.2">
      <c r="B164" s="54"/>
      <c r="C164" s="54"/>
      <c r="D164" s="54"/>
      <c r="E164" s="54"/>
      <c r="F164" s="54"/>
      <c r="G164" s="54"/>
    </row>
    <row r="165" spans="2:7" x14ac:dyDescent="0.2">
      <c r="B165" s="54"/>
      <c r="C165" s="54"/>
      <c r="D165" s="54"/>
      <c r="E165" s="54"/>
      <c r="F165" s="54"/>
      <c r="G165" s="54"/>
    </row>
    <row r="166" spans="2:7" x14ac:dyDescent="0.2">
      <c r="B166" s="54"/>
      <c r="C166" s="54"/>
      <c r="D166" s="54"/>
      <c r="E166" s="54"/>
      <c r="F166" s="54"/>
      <c r="G166" s="54"/>
    </row>
    <row r="167" spans="2:7" x14ac:dyDescent="0.2">
      <c r="B167" s="54"/>
      <c r="C167" s="54"/>
      <c r="D167" s="54"/>
      <c r="E167" s="54"/>
      <c r="F167" s="54"/>
      <c r="G167" s="54"/>
    </row>
    <row r="168" spans="2:7" x14ac:dyDescent="0.2">
      <c r="B168" s="54"/>
      <c r="C168" s="54"/>
      <c r="D168" s="54"/>
      <c r="E168" s="54"/>
      <c r="F168" s="54"/>
      <c r="G168" s="54"/>
    </row>
    <row r="169" spans="2:7" x14ac:dyDescent="0.2">
      <c r="B169" s="54"/>
      <c r="C169" s="54"/>
      <c r="D169" s="54"/>
      <c r="E169" s="54"/>
      <c r="F169" s="54"/>
      <c r="G169" s="54"/>
    </row>
    <row r="170" spans="2:7" x14ac:dyDescent="0.2">
      <c r="B170" s="54"/>
      <c r="C170" s="54"/>
      <c r="D170" s="54"/>
      <c r="E170" s="54"/>
      <c r="F170" s="54"/>
      <c r="G170" s="54"/>
    </row>
    <row r="171" spans="2:7" x14ac:dyDescent="0.2">
      <c r="B171" s="54"/>
      <c r="C171" s="54"/>
      <c r="D171" s="54"/>
      <c r="E171" s="54"/>
      <c r="F171" s="54"/>
      <c r="G171" s="54"/>
    </row>
    <row r="172" spans="2:7" x14ac:dyDescent="0.2">
      <c r="B172" s="54"/>
      <c r="C172" s="54"/>
      <c r="D172" s="54"/>
      <c r="E172" s="54"/>
      <c r="F172" s="54"/>
      <c r="G172" s="54"/>
    </row>
    <row r="173" spans="2:7" x14ac:dyDescent="0.2">
      <c r="B173" s="54"/>
      <c r="C173" s="54"/>
      <c r="D173" s="54"/>
      <c r="E173" s="54"/>
      <c r="F173" s="54"/>
      <c r="G173" s="54"/>
    </row>
    <row r="174" spans="2:7" x14ac:dyDescent="0.2">
      <c r="B174" s="54"/>
      <c r="C174" s="54"/>
      <c r="D174" s="54"/>
      <c r="E174" s="54"/>
      <c r="F174" s="54"/>
      <c r="G174" s="54"/>
    </row>
    <row r="175" spans="2:7" x14ac:dyDescent="0.2">
      <c r="B175" s="54"/>
      <c r="C175" s="54"/>
      <c r="D175" s="54"/>
      <c r="E175" s="54"/>
      <c r="F175" s="54"/>
      <c r="G175" s="54"/>
    </row>
    <row r="176" spans="2:7" x14ac:dyDescent="0.2">
      <c r="B176" s="54"/>
      <c r="C176" s="54"/>
      <c r="D176" s="54"/>
      <c r="E176" s="54"/>
      <c r="F176" s="54"/>
      <c r="G176" s="54"/>
    </row>
    <row r="177" spans="2:7" x14ac:dyDescent="0.2">
      <c r="B177" s="54"/>
      <c r="C177" s="54"/>
      <c r="D177" s="54"/>
      <c r="E177" s="54"/>
      <c r="F177" s="54"/>
      <c r="G177" s="54"/>
    </row>
    <row r="178" spans="2:7" x14ac:dyDescent="0.2">
      <c r="B178" s="54"/>
      <c r="C178" s="54"/>
      <c r="D178" s="54"/>
      <c r="E178" s="54"/>
      <c r="F178" s="54"/>
      <c r="G178" s="54"/>
    </row>
    <row r="179" spans="2:7" x14ac:dyDescent="0.2">
      <c r="B179" s="54"/>
      <c r="C179" s="54"/>
      <c r="D179" s="54"/>
      <c r="E179" s="54"/>
      <c r="F179" s="54"/>
      <c r="G179" s="54"/>
    </row>
    <row r="180" spans="2:7" x14ac:dyDescent="0.2">
      <c r="B180" s="54"/>
      <c r="C180" s="54"/>
      <c r="D180" s="54"/>
      <c r="E180" s="54"/>
      <c r="F180" s="54"/>
      <c r="G180" s="54"/>
    </row>
    <row r="181" spans="2:7" x14ac:dyDescent="0.2">
      <c r="B181" s="54"/>
      <c r="C181" s="54"/>
      <c r="D181" s="54"/>
      <c r="E181" s="54"/>
      <c r="F181" s="54"/>
      <c r="G181" s="54"/>
    </row>
    <row r="182" spans="2:7" x14ac:dyDescent="0.2">
      <c r="B182" s="54"/>
      <c r="C182" s="54"/>
      <c r="D182" s="54"/>
      <c r="E182" s="54"/>
      <c r="F182" s="54"/>
      <c r="G182" s="54"/>
    </row>
    <row r="183" spans="2:7" x14ac:dyDescent="0.2">
      <c r="B183" s="54"/>
      <c r="C183" s="54"/>
      <c r="D183" s="54"/>
      <c r="E183" s="54"/>
      <c r="F183" s="54"/>
      <c r="G183" s="54"/>
    </row>
    <row r="184" spans="2:7" x14ac:dyDescent="0.2">
      <c r="B184" s="54"/>
      <c r="C184" s="54"/>
      <c r="D184" s="54"/>
      <c r="E184" s="54"/>
      <c r="F184" s="54"/>
      <c r="G184" s="54"/>
    </row>
    <row r="185" spans="2:7" x14ac:dyDescent="0.2">
      <c r="B185" s="54"/>
      <c r="C185" s="54"/>
      <c r="D185" s="54"/>
      <c r="E185" s="54"/>
      <c r="F185" s="54"/>
      <c r="G185" s="54"/>
    </row>
    <row r="186" spans="2:7" x14ac:dyDescent="0.2">
      <c r="B186" s="54"/>
      <c r="C186" s="54"/>
      <c r="D186" s="54"/>
      <c r="E186" s="54"/>
      <c r="F186" s="54"/>
      <c r="G186" s="54"/>
    </row>
    <row r="187" spans="2:7" x14ac:dyDescent="0.2">
      <c r="B187" s="54"/>
      <c r="C187" s="54"/>
      <c r="D187" s="54"/>
      <c r="E187" s="54"/>
      <c r="F187" s="54"/>
      <c r="G187" s="54"/>
    </row>
    <row r="188" spans="2:7" x14ac:dyDescent="0.2">
      <c r="B188" s="54"/>
      <c r="C188" s="54"/>
      <c r="D188" s="54"/>
      <c r="E188" s="54"/>
      <c r="F188" s="54"/>
      <c r="G188" s="54"/>
    </row>
    <row r="189" spans="2:7" x14ac:dyDescent="0.2">
      <c r="B189" s="54"/>
      <c r="C189" s="54"/>
      <c r="D189" s="54"/>
      <c r="E189" s="54"/>
      <c r="F189" s="54"/>
      <c r="G189" s="54"/>
    </row>
    <row r="190" spans="2:7" x14ac:dyDescent="0.2">
      <c r="B190" s="54"/>
      <c r="C190" s="54"/>
      <c r="D190" s="54"/>
      <c r="E190" s="54"/>
      <c r="F190" s="54"/>
      <c r="G190" s="54"/>
    </row>
    <row r="191" spans="2:7" x14ac:dyDescent="0.2">
      <c r="B191" s="54"/>
      <c r="C191" s="54"/>
      <c r="D191" s="54"/>
      <c r="E191" s="54"/>
      <c r="F191" s="54"/>
      <c r="G191" s="54"/>
    </row>
    <row r="192" spans="2:7" x14ac:dyDescent="0.2">
      <c r="B192" s="54"/>
      <c r="C192" s="54"/>
      <c r="D192" s="54"/>
      <c r="E192" s="54"/>
      <c r="F192" s="54"/>
      <c r="G192" s="54"/>
    </row>
    <row r="193" spans="2:7" x14ac:dyDescent="0.2">
      <c r="B193" s="54"/>
      <c r="C193" s="54"/>
      <c r="D193" s="54"/>
      <c r="E193" s="54"/>
      <c r="F193" s="54"/>
      <c r="G193" s="54"/>
    </row>
    <row r="194" spans="2:7" x14ac:dyDescent="0.2">
      <c r="B194" s="54"/>
      <c r="C194" s="54"/>
      <c r="D194" s="54"/>
      <c r="E194" s="54"/>
      <c r="F194" s="54"/>
      <c r="G194" s="54"/>
    </row>
    <row r="195" spans="2:7" x14ac:dyDescent="0.2">
      <c r="B195" s="54"/>
      <c r="C195" s="54"/>
      <c r="D195" s="54"/>
      <c r="E195" s="54"/>
      <c r="F195" s="54"/>
      <c r="G195" s="54"/>
    </row>
    <row r="196" spans="2:7" x14ac:dyDescent="0.2">
      <c r="B196" s="54"/>
      <c r="C196" s="54"/>
      <c r="D196" s="54"/>
      <c r="E196" s="54"/>
      <c r="F196" s="54"/>
      <c r="G196" s="54"/>
    </row>
    <row r="197" spans="2:7" x14ac:dyDescent="0.2">
      <c r="B197" s="54"/>
      <c r="C197" s="54"/>
      <c r="D197" s="54"/>
      <c r="E197" s="54"/>
      <c r="F197" s="54"/>
      <c r="G197" s="54"/>
    </row>
    <row r="198" spans="2:7" x14ac:dyDescent="0.2">
      <c r="B198" s="54"/>
      <c r="C198" s="54"/>
      <c r="D198" s="54"/>
      <c r="E198" s="54"/>
      <c r="F198" s="54"/>
      <c r="G198" s="54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Z123"/>
  <sheetViews>
    <sheetView showGridLines="0" zoomScaleNormal="100" workbookViewId="0">
      <selection activeCell="E35" sqref="E35"/>
    </sheetView>
  </sheetViews>
  <sheetFormatPr defaultRowHeight="12.75" x14ac:dyDescent="0.2"/>
  <cols>
    <col min="1" max="1" width="3.140625" style="54" customWidth="1"/>
    <col min="2" max="2" width="27" style="2" customWidth="1"/>
    <col min="3" max="3" width="4.42578125" style="2" customWidth="1"/>
    <col min="4" max="4" width="12.140625" style="2" customWidth="1"/>
    <col min="5" max="5" width="11" style="2" customWidth="1"/>
    <col min="6" max="6" width="11.28515625" style="2" customWidth="1"/>
    <col min="7" max="7" width="12.140625" style="2" customWidth="1"/>
    <col min="8" max="8" width="11" style="2" customWidth="1"/>
    <col min="9" max="9" width="11.140625" style="2" customWidth="1"/>
    <col min="10" max="10" width="11.42578125" style="2" customWidth="1"/>
    <col min="11" max="11" width="17.140625" style="2" customWidth="1"/>
    <col min="12" max="12" width="10.28515625" style="2" customWidth="1"/>
    <col min="13" max="13" width="12.140625" style="2" customWidth="1"/>
    <col min="14" max="14" width="17.140625" style="2" customWidth="1"/>
    <col min="15" max="15" width="11.7109375" style="2" customWidth="1"/>
    <col min="16" max="16" width="12.140625" style="2" customWidth="1"/>
    <col min="17" max="17" width="17.140625" style="2" customWidth="1"/>
    <col min="18" max="18" width="8.85546875" style="2" customWidth="1"/>
    <col min="19" max="19" width="12.140625" style="2" customWidth="1"/>
    <col min="20" max="26" width="10.28515625" style="2" bestFit="1" customWidth="1"/>
    <col min="27" max="27" width="10.28515625" style="54" bestFit="1" customWidth="1"/>
    <col min="28" max="16384" width="9.140625" style="54"/>
  </cols>
  <sheetData>
    <row r="1" spans="2:19" ht="13.5" thickBot="1" x14ac:dyDescent="0.25"/>
    <row r="2" spans="2:19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6"/>
    </row>
    <row r="3" spans="2:19" ht="13.5" thickTop="1" x14ac:dyDescent="0.2"/>
    <row r="4" spans="2:19" x14ac:dyDescent="0.2">
      <c r="B4" s="1" t="s">
        <v>364</v>
      </c>
    </row>
    <row r="5" spans="2:19" x14ac:dyDescent="0.2">
      <c r="B5" s="2" t="s">
        <v>359</v>
      </c>
      <c r="C5" s="43">
        <v>0</v>
      </c>
    </row>
    <row r="6" spans="2:19" s="2" customFormat="1" x14ac:dyDescent="0.2"/>
    <row r="7" spans="2:19" s="2" customFormat="1" x14ac:dyDescent="0.2"/>
    <row r="8" spans="2:19" s="2" customFormat="1" x14ac:dyDescent="0.2">
      <c r="B8" s="37" t="s">
        <v>136</v>
      </c>
      <c r="D8" s="30"/>
      <c r="E8" s="30"/>
    </row>
    <row r="9" spans="2:19" s="2" customFormat="1" x14ac:dyDescent="0.2">
      <c r="B9" s="15" t="s">
        <v>405</v>
      </c>
      <c r="D9" s="81" t="s">
        <v>137</v>
      </c>
      <c r="E9" s="64">
        <v>0</v>
      </c>
    </row>
    <row r="10" spans="2:19" s="2" customFormat="1" x14ac:dyDescent="0.2">
      <c r="B10" s="15" t="s">
        <v>140</v>
      </c>
      <c r="D10" s="81" t="s">
        <v>137</v>
      </c>
      <c r="E10" s="64">
        <v>0</v>
      </c>
    </row>
    <row r="11" spans="2:19" s="2" customFormat="1" x14ac:dyDescent="0.2">
      <c r="B11" s="15" t="s">
        <v>138</v>
      </c>
      <c r="D11" s="81" t="s">
        <v>137</v>
      </c>
      <c r="E11" s="64">
        <v>0</v>
      </c>
    </row>
    <row r="12" spans="2:19" s="2" customFormat="1" x14ac:dyDescent="0.2">
      <c r="B12" s="15" t="s">
        <v>139</v>
      </c>
      <c r="D12" s="81" t="s">
        <v>137</v>
      </c>
      <c r="E12" s="64">
        <v>0</v>
      </c>
    </row>
    <row r="13" spans="2:19" s="2" customFormat="1" x14ac:dyDescent="0.2">
      <c r="E13" s="64"/>
    </row>
    <row r="14" spans="2:19" s="2" customFormat="1" x14ac:dyDescent="0.2">
      <c r="B14" s="37" t="s">
        <v>141</v>
      </c>
      <c r="D14" s="15"/>
    </row>
    <row r="15" spans="2:19" s="2" customFormat="1" x14ac:dyDescent="0.2">
      <c r="B15" s="15" t="s">
        <v>142</v>
      </c>
      <c r="D15" s="63"/>
      <c r="E15" s="63">
        <v>0</v>
      </c>
    </row>
    <row r="16" spans="2:19" s="2" customFormat="1" x14ac:dyDescent="0.2">
      <c r="B16" s="15" t="s">
        <v>143</v>
      </c>
      <c r="D16" s="63"/>
      <c r="E16" s="63">
        <v>0.05</v>
      </c>
    </row>
    <row r="17" spans="2:15" s="2" customFormat="1" x14ac:dyDescent="0.2">
      <c r="B17" s="15" t="s">
        <v>130</v>
      </c>
      <c r="D17" s="63"/>
      <c r="E17" s="63">
        <v>0.05</v>
      </c>
    </row>
    <row r="18" spans="2:15" s="2" customFormat="1" x14ac:dyDescent="0.2">
      <c r="B18" s="15" t="s">
        <v>144</v>
      </c>
      <c r="D18" s="63"/>
      <c r="E18" s="63">
        <v>0.1</v>
      </c>
    </row>
    <row r="19" spans="2:15" s="2" customFormat="1" x14ac:dyDescent="0.2">
      <c r="B19" s="15" t="s">
        <v>145</v>
      </c>
      <c r="D19" s="63"/>
      <c r="E19" s="63">
        <v>0.2</v>
      </c>
    </row>
    <row r="20" spans="2:15" s="2" customFormat="1" ht="13.5" customHeight="1" x14ac:dyDescent="0.2">
      <c r="B20" s="70" t="s">
        <v>146</v>
      </c>
      <c r="D20" s="63"/>
      <c r="E20" s="63">
        <v>0.1</v>
      </c>
    </row>
    <row r="21" spans="2:15" s="2" customFormat="1" x14ac:dyDescent="0.2">
      <c r="B21" s="15"/>
      <c r="D21" s="15"/>
      <c r="E21" s="15"/>
    </row>
    <row r="22" spans="2:15" s="2" customFormat="1" x14ac:dyDescent="0.2">
      <c r="B22" s="81" t="s">
        <v>147</v>
      </c>
      <c r="D22" s="43"/>
      <c r="E22" s="43">
        <v>0</v>
      </c>
    </row>
    <row r="23" spans="2:15" s="2" customFormat="1" x14ac:dyDescent="0.2"/>
    <row r="24" spans="2:15" s="2" customFormat="1" x14ac:dyDescent="0.2">
      <c r="B24" s="2" t="s">
        <v>148</v>
      </c>
      <c r="E24" s="50">
        <v>10</v>
      </c>
      <c r="F24" s="43" t="s">
        <v>400</v>
      </c>
    </row>
    <row r="25" spans="2:15" s="2" customFormat="1" x14ac:dyDescent="0.2"/>
    <row r="26" spans="2:15" x14ac:dyDescent="0.2">
      <c r="D26" s="59">
        <v>2016</v>
      </c>
      <c r="E26" s="59">
        <f t="shared" ref="E26:J26" si="0">+D26+1</f>
        <v>2017</v>
      </c>
      <c r="F26" s="59">
        <f t="shared" si="0"/>
        <v>2018</v>
      </c>
      <c r="G26" s="59">
        <f t="shared" si="0"/>
        <v>2019</v>
      </c>
      <c r="H26" s="59">
        <f t="shared" si="0"/>
        <v>2020</v>
      </c>
      <c r="I26" s="59">
        <f t="shared" si="0"/>
        <v>2021</v>
      </c>
      <c r="J26" s="59">
        <f t="shared" si="0"/>
        <v>2022</v>
      </c>
      <c r="K26" s="59">
        <f t="shared" ref="K26" si="1">+J26+1</f>
        <v>2023</v>
      </c>
      <c r="L26" s="59">
        <f t="shared" ref="L26:O26" si="2">+K26+1</f>
        <v>2024</v>
      </c>
      <c r="M26" s="59">
        <f t="shared" si="2"/>
        <v>2025</v>
      </c>
      <c r="N26" s="59">
        <f t="shared" si="2"/>
        <v>2026</v>
      </c>
      <c r="O26" s="59">
        <f t="shared" si="2"/>
        <v>2027</v>
      </c>
    </row>
    <row r="27" spans="2:15" x14ac:dyDescent="0.2">
      <c r="B27" s="129" t="s">
        <v>551</v>
      </c>
      <c r="C27" s="43"/>
      <c r="D27" s="36">
        <v>0</v>
      </c>
      <c r="E27" s="36">
        <v>11350553</v>
      </c>
      <c r="F27" s="36">
        <v>3039162</v>
      </c>
      <c r="G27" s="36">
        <v>2241760</v>
      </c>
      <c r="H27" s="36">
        <v>1315505</v>
      </c>
      <c r="I27" s="36">
        <v>1176912</v>
      </c>
      <c r="J27" s="36">
        <v>583814</v>
      </c>
      <c r="K27" s="36">
        <v>111402</v>
      </c>
      <c r="L27" s="36"/>
      <c r="M27" s="36"/>
      <c r="N27" s="36"/>
      <c r="O27" s="36"/>
    </row>
    <row r="28" spans="2:15" x14ac:dyDescent="0.2">
      <c r="B28" s="38" t="s">
        <v>270</v>
      </c>
      <c r="D28" s="36">
        <f>+'CF &amp; WC'!D43</f>
        <v>0</v>
      </c>
      <c r="E28" s="36">
        <f>+'CF &amp; WC'!E43</f>
        <v>0.15410094149410725</v>
      </c>
      <c r="F28" s="36">
        <f ca="1">+'CF &amp; WC'!F43</f>
        <v>0.30253640422597528</v>
      </c>
      <c r="G28" s="36">
        <f ca="1">+'CF &amp; WC'!G43</f>
        <v>-0.35433897981420159</v>
      </c>
      <c r="H28" s="36">
        <f ca="1">+'CF &amp; WC'!H43</f>
        <v>0.11891384096816182</v>
      </c>
      <c r="I28" s="36">
        <f ca="1">+'CF &amp; WC'!I43</f>
        <v>0.44634614954702556</v>
      </c>
      <c r="J28" s="36">
        <f ca="1">+'CF &amp; WC'!J43</f>
        <v>0.37377845798619092</v>
      </c>
      <c r="K28" s="36">
        <f ca="1">+'CF &amp; WC'!K43</f>
        <v>-0.49878923338837922</v>
      </c>
      <c r="L28" s="36">
        <f ca="1">+'CF &amp; WC'!L43</f>
        <v>190663.02864307514</v>
      </c>
      <c r="M28" s="36">
        <f ca="1">+'CF &amp; WC'!M43</f>
        <v>699485.95607538358</v>
      </c>
      <c r="N28" s="36">
        <f ca="1">+'CF &amp; WC'!N43</f>
        <v>1304407.0835076922</v>
      </c>
      <c r="O28" s="36">
        <f ca="1">+'CF &amp; WC'!O43</f>
        <v>1915152.3442733332</v>
      </c>
    </row>
    <row r="30" spans="2:15" x14ac:dyDescent="0.2">
      <c r="B30" s="129" t="s">
        <v>518</v>
      </c>
      <c r="E30" s="43">
        <v>0.3</v>
      </c>
      <c r="F30" s="2" t="s">
        <v>509</v>
      </c>
    </row>
    <row r="32" spans="2:15" x14ac:dyDescent="0.2">
      <c r="E32" s="61">
        <f t="shared" ref="E32:G32" si="3">E27+E28</f>
        <v>11350553.154100941</v>
      </c>
      <c r="F32" s="61">
        <f t="shared" ca="1" si="3"/>
        <v>3039162.3025364042</v>
      </c>
      <c r="G32" s="61">
        <f t="shared" ca="1" si="3"/>
        <v>2241759.6456610202</v>
      </c>
      <c r="H32" s="61">
        <f ca="1">H27+H28</f>
        <v>1315505.118913841</v>
      </c>
      <c r="I32" s="61">
        <f t="shared" ref="I32:O32" ca="1" si="4">I27+I28</f>
        <v>1176912.4463461495</v>
      </c>
      <c r="J32" s="61">
        <f t="shared" ca="1" si="4"/>
        <v>583814.37377845799</v>
      </c>
      <c r="K32" s="61">
        <f t="shared" ca="1" si="4"/>
        <v>111401.50121076661</v>
      </c>
      <c r="L32" s="61">
        <f t="shared" ca="1" si="4"/>
        <v>190663.02864307514</v>
      </c>
      <c r="M32" s="61">
        <f t="shared" ca="1" si="4"/>
        <v>699485.95607538358</v>
      </c>
      <c r="N32" s="61">
        <f t="shared" ca="1" si="4"/>
        <v>1304407.0835076922</v>
      </c>
      <c r="O32" s="61">
        <f t="shared" ca="1" si="4"/>
        <v>1915152.3442733332</v>
      </c>
    </row>
    <row r="34" spans="2:5" x14ac:dyDescent="0.2">
      <c r="B34" s="2" t="s">
        <v>596</v>
      </c>
      <c r="E34" s="43">
        <v>0.03</v>
      </c>
    </row>
    <row r="118" spans="3:9" x14ac:dyDescent="0.2">
      <c r="G118" s="242"/>
    </row>
    <row r="119" spans="3:9" x14ac:dyDescent="0.2">
      <c r="G119" s="243"/>
    </row>
    <row r="120" spans="3:9" x14ac:dyDescent="0.2">
      <c r="G120" s="243"/>
    </row>
    <row r="121" spans="3:9" x14ac:dyDescent="0.2">
      <c r="C121" s="43">
        <v>0.1</v>
      </c>
      <c r="E121" s="2">
        <f>E120*C121</f>
        <v>0</v>
      </c>
      <c r="F121" s="2">
        <f>F120*C121</f>
        <v>0</v>
      </c>
      <c r="G121" s="243">
        <f>G120*C121</f>
        <v>0</v>
      </c>
      <c r="H121" s="2">
        <f>H120*C121</f>
        <v>0</v>
      </c>
      <c r="I121" s="2">
        <f>I120*C121</f>
        <v>0</v>
      </c>
    </row>
    <row r="122" spans="3:9" x14ac:dyDescent="0.2">
      <c r="G122" s="243"/>
    </row>
    <row r="123" spans="3:9" x14ac:dyDescent="0.2">
      <c r="E123" s="81"/>
      <c r="F123" s="81"/>
      <c r="G123" s="244"/>
      <c r="H123" s="81"/>
      <c r="I123" s="8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86"/>
  <sheetViews>
    <sheetView showGridLines="0" topLeftCell="B1" zoomScale="115" zoomScaleNormal="115" workbookViewId="0">
      <pane xSplit="1" ySplit="4" topLeftCell="C56" activePane="bottomRight" state="frozen"/>
      <selection activeCell="B1" sqref="B1"/>
      <selection pane="topRight" activeCell="C1" sqref="C1"/>
      <selection pane="bottomLeft" activeCell="B2" sqref="B2"/>
      <selection pane="bottomRight" activeCell="D80" sqref="D80"/>
    </sheetView>
  </sheetViews>
  <sheetFormatPr defaultRowHeight="12.75" x14ac:dyDescent="0.2"/>
  <cols>
    <col min="1" max="1" width="5.7109375" style="2" customWidth="1"/>
    <col min="2" max="2" width="34.5703125" style="2" customWidth="1"/>
    <col min="3" max="3" width="9.140625" style="2"/>
    <col min="4" max="23" width="15.7109375" style="2" customWidth="1"/>
    <col min="24" max="16384" width="9.140625" style="2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358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2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6" spans="2:23" x14ac:dyDescent="0.2">
      <c r="B6" s="41" t="s">
        <v>288</v>
      </c>
    </row>
    <row r="7" spans="2:23" x14ac:dyDescent="0.2">
      <c r="B7" s="38"/>
    </row>
    <row r="9" spans="2:23" x14ac:dyDescent="0.2">
      <c r="B9" s="39" t="s">
        <v>289</v>
      </c>
    </row>
    <row r="10" spans="2:23" x14ac:dyDescent="0.2">
      <c r="B10" s="2" t="s">
        <v>290</v>
      </c>
      <c r="D10" s="36">
        <f>'Field Ops'!F17</f>
        <v>0</v>
      </c>
      <c r="E10" s="36">
        <f>'Field Ops'!G17</f>
        <v>3200</v>
      </c>
      <c r="F10" s="36">
        <f>'Field Ops'!H17</f>
        <v>3200</v>
      </c>
      <c r="G10" s="36">
        <f>'Field Ops'!I17</f>
        <v>3200</v>
      </c>
      <c r="H10" s="36">
        <f>'Field Ops'!J17</f>
        <v>3200</v>
      </c>
      <c r="I10" s="36">
        <f>'Field Ops'!K17</f>
        <v>3200</v>
      </c>
      <c r="J10" s="36">
        <f>'Field Ops'!L17</f>
        <v>3200</v>
      </c>
      <c r="K10" s="36">
        <f>'Field Ops'!M17</f>
        <v>3200</v>
      </c>
      <c r="L10" s="36">
        <f>'Field Ops'!N17</f>
        <v>3200</v>
      </c>
      <c r="M10" s="36">
        <f>'Field Ops'!O17</f>
        <v>3200</v>
      </c>
      <c r="N10" s="36">
        <f>'Field Ops'!P17</f>
        <v>3200</v>
      </c>
      <c r="O10" s="36">
        <f>'Field Ops'!Q17</f>
        <v>3200</v>
      </c>
      <c r="P10" s="36">
        <f>'Field Ops'!R17</f>
        <v>3200</v>
      </c>
      <c r="Q10" s="36">
        <f>'Field Ops'!S17</f>
        <v>3200</v>
      </c>
      <c r="R10" s="36">
        <f>'Field Ops'!T17</f>
        <v>3200</v>
      </c>
      <c r="S10" s="36">
        <f>'Field Ops'!U17</f>
        <v>3200</v>
      </c>
      <c r="T10" s="36">
        <f>'Field Ops'!V17</f>
        <v>3200</v>
      </c>
      <c r="U10" s="36">
        <f>'Field Ops'!W17</f>
        <v>3200</v>
      </c>
      <c r="V10" s="36">
        <f>'Field Ops'!X17</f>
        <v>3200</v>
      </c>
      <c r="W10" s="36">
        <f>'Field Ops'!Y17</f>
        <v>3200</v>
      </c>
    </row>
    <row r="12" spans="2:23" x14ac:dyDescent="0.2">
      <c r="B12" s="39" t="s">
        <v>291</v>
      </c>
    </row>
    <row r="13" spans="2:23" x14ac:dyDescent="0.2">
      <c r="B13" s="2" t="s">
        <v>292</v>
      </c>
      <c r="D13" s="83">
        <f>+'P&amp;L'!D14</f>
        <v>0</v>
      </c>
      <c r="E13" s="83">
        <f>+'P&amp;L'!E14</f>
        <v>0</v>
      </c>
      <c r="F13" s="83">
        <f>+'P&amp;L'!F14</f>
        <v>0</v>
      </c>
      <c r="G13" s="83">
        <f>+'P&amp;L'!G14</f>
        <v>0</v>
      </c>
      <c r="H13" s="83">
        <f>+'P&amp;L'!H14</f>
        <v>1369600</v>
      </c>
      <c r="I13" s="83">
        <f>+'P&amp;L'!I14</f>
        <v>2739200</v>
      </c>
      <c r="J13" s="83">
        <f>+'P&amp;L'!J14</f>
        <v>4108800</v>
      </c>
      <c r="K13" s="83">
        <f>+'P&amp;L'!K14</f>
        <v>5136000</v>
      </c>
      <c r="L13" s="83">
        <f>+'P&amp;L'!L14</f>
        <v>5820800</v>
      </c>
      <c r="M13" s="83">
        <f>+'P&amp;L'!M14</f>
        <v>6505600</v>
      </c>
      <c r="N13" s="83">
        <f>+'P&amp;L'!N14</f>
        <v>6505600</v>
      </c>
      <c r="O13" s="83">
        <f>+'P&amp;L'!O14</f>
        <v>6505600</v>
      </c>
      <c r="P13" s="83">
        <f>+'P&amp;L'!P14</f>
        <v>6505600</v>
      </c>
      <c r="Q13" s="83">
        <f>+'P&amp;L'!Q14</f>
        <v>6505600</v>
      </c>
      <c r="R13" s="83">
        <f>+'P&amp;L'!R14</f>
        <v>6505600</v>
      </c>
      <c r="S13" s="83">
        <f>+'P&amp;L'!S14</f>
        <v>6505600</v>
      </c>
      <c r="T13" s="83">
        <f>+'P&amp;L'!T14</f>
        <v>6505600</v>
      </c>
      <c r="U13" s="83">
        <f>+'P&amp;L'!U14</f>
        <v>6505600</v>
      </c>
      <c r="V13" s="83">
        <f>+'P&amp;L'!V14</f>
        <v>6505600</v>
      </c>
      <c r="W13" s="83">
        <f>+'P&amp;L'!W14</f>
        <v>6505600</v>
      </c>
    </row>
    <row r="14" spans="2:23" x14ac:dyDescent="0.2">
      <c r="B14" s="2" t="s">
        <v>182</v>
      </c>
      <c r="D14" s="83">
        <f>+'P&amp;L'!D24</f>
        <v>0</v>
      </c>
      <c r="E14" s="83">
        <f>+'P&amp;L'!E24</f>
        <v>0</v>
      </c>
      <c r="F14" s="83">
        <f>+'P&amp;L'!F24</f>
        <v>0</v>
      </c>
      <c r="G14" s="83">
        <f>+'P&amp;L'!G24</f>
        <v>0</v>
      </c>
      <c r="H14" s="83">
        <f>+'P&amp;L'!H24</f>
        <v>530794.66666666674</v>
      </c>
      <c r="I14" s="83">
        <f>+'P&amp;L'!I24</f>
        <v>2813046.9750615377</v>
      </c>
      <c r="J14" s="83">
        <f>+'P&amp;L'!J24</f>
        <v>3145430.9750615377</v>
      </c>
      <c r="K14" s="83">
        <f>+'P&amp;L'!K24</f>
        <v>3369638.9750615377</v>
      </c>
      <c r="L14" s="83">
        <f>+'P&amp;L'!L24</f>
        <v>3530814.9750615377</v>
      </c>
      <c r="M14" s="83">
        <f>+'P&amp;L'!M24</f>
        <v>3677360.9750615377</v>
      </c>
      <c r="N14" s="83">
        <f>+'P&amp;L'!N24</f>
        <v>3589998.9750615377</v>
      </c>
      <c r="O14" s="83">
        <f>+'P&amp;L'!O24</f>
        <v>3584704.3083948717</v>
      </c>
      <c r="P14" s="83">
        <f>+'P&amp;L'!P24</f>
        <v>3558230.9750615377</v>
      </c>
      <c r="Q14" s="83">
        <f>+'P&amp;L'!Q24</f>
        <v>3579409.6417282047</v>
      </c>
      <c r="R14" s="83">
        <f>+'P&amp;L'!R24</f>
        <v>3617795.9750615377</v>
      </c>
      <c r="S14" s="83">
        <f>+'P&amp;L'!S24</f>
        <v>3632979.2103556553</v>
      </c>
      <c r="T14" s="83">
        <f>+'P&amp;L'!T24</f>
        <v>3646475.4195059827</v>
      </c>
      <c r="U14" s="83">
        <f>+'P&amp;L'!U24</f>
        <v>3691990.9750615377</v>
      </c>
      <c r="V14" s="83">
        <f>+'P&amp;L'!V24</f>
        <v>3685302.9750615377</v>
      </c>
      <c r="W14" s="83">
        <f>+'P&amp;L'!W24</f>
        <v>3685302.9750615377</v>
      </c>
    </row>
    <row r="15" spans="2:23" x14ac:dyDescent="0.2">
      <c r="B15" s="2" t="s">
        <v>183</v>
      </c>
      <c r="D15" s="83">
        <f>+'P&amp;L'!D26</f>
        <v>0</v>
      </c>
      <c r="E15" s="83">
        <f>+'P&amp;L'!E26</f>
        <v>0</v>
      </c>
      <c r="F15" s="83">
        <f>+'P&amp;L'!F26</f>
        <v>0</v>
      </c>
      <c r="G15" s="83">
        <f>+'P&amp;L'!G26</f>
        <v>0</v>
      </c>
      <c r="H15" s="83">
        <f>+'P&amp;L'!H26</f>
        <v>838805.33333333326</v>
      </c>
      <c r="I15" s="83">
        <f>+'P&amp;L'!I26</f>
        <v>-73846.975061537698</v>
      </c>
      <c r="J15" s="83">
        <f>+'P&amp;L'!J26</f>
        <v>963369.0249384623</v>
      </c>
      <c r="K15" s="83">
        <f>+'P&amp;L'!K26</f>
        <v>1766361.0249384623</v>
      </c>
      <c r="L15" s="83">
        <f>+'P&amp;L'!L26</f>
        <v>2289985.0249384623</v>
      </c>
      <c r="M15" s="83">
        <f>+'P&amp;L'!M26</f>
        <v>2828239.0249384623</v>
      </c>
      <c r="N15" s="83">
        <f>+'P&amp;L'!N26</f>
        <v>2915601.0249384623</v>
      </c>
      <c r="O15" s="83">
        <f>+'P&amp;L'!O26</f>
        <v>2920895.6916051283</v>
      </c>
      <c r="P15" s="83">
        <f>+'P&amp;L'!P26</f>
        <v>2947369.0249384623</v>
      </c>
      <c r="Q15" s="83">
        <f>+'P&amp;L'!Q26</f>
        <v>2926190.3582717953</v>
      </c>
      <c r="R15" s="83">
        <f>+'P&amp;L'!R26</f>
        <v>2887804.0249384623</v>
      </c>
      <c r="S15" s="83">
        <f>+'P&amp;L'!S26</f>
        <v>2872620.7896443447</v>
      </c>
      <c r="T15" s="83">
        <f>+'P&amp;L'!T26</f>
        <v>2859124.5804940173</v>
      </c>
      <c r="U15" s="83">
        <f>+'P&amp;L'!U26</f>
        <v>2813609.0249384623</v>
      </c>
      <c r="V15" s="83">
        <f>+'P&amp;L'!V26</f>
        <v>2820297.0249384623</v>
      </c>
      <c r="W15" s="83">
        <f>+'P&amp;L'!W26</f>
        <v>2820297.0249384623</v>
      </c>
    </row>
    <row r="16" spans="2:23" x14ac:dyDescent="0.2">
      <c r="B16" s="2" t="s">
        <v>293</v>
      </c>
      <c r="D16" s="83">
        <f>SUM('P&amp;L'!D28:D30)</f>
        <v>0</v>
      </c>
      <c r="E16" s="83">
        <f>SUM('P&amp;L'!E28:E30)</f>
        <v>1547802.6608044172</v>
      </c>
      <c r="F16" s="83">
        <f ca="1">SUM('P&amp;L'!F28:F30)</f>
        <v>930365.38184512139</v>
      </c>
      <c r="G16" s="83">
        <f ca="1">SUM('P&amp;L'!G28:G30)</f>
        <v>959772.57582226128</v>
      </c>
      <c r="H16" s="83">
        <f ca="1">SUM('P&amp;L'!H28:H30)</f>
        <v>1039557.9455112356</v>
      </c>
      <c r="I16" s="83">
        <f ca="1">SUM('P&amp;L'!I28:I30)</f>
        <v>1114114.9587676458</v>
      </c>
      <c r="J16" s="83">
        <f ca="1">SUM('P&amp;L'!J28:J30)</f>
        <v>1147353.3587676459</v>
      </c>
      <c r="K16" s="83">
        <f ca="1">SUM('P&amp;L'!K28:K30)</f>
        <v>1169774.1587676457</v>
      </c>
      <c r="L16" s="83">
        <f ca="1">SUM('P&amp;L'!L28:L30)</f>
        <v>1185891.7587676458</v>
      </c>
      <c r="M16" s="83">
        <f ca="1">SUM('P&amp;L'!M28:M30)</f>
        <v>1200546.3587676459</v>
      </c>
      <c r="N16" s="83">
        <f ca="1">SUM('P&amp;L'!N28:N30)</f>
        <v>1191810.1587676457</v>
      </c>
      <c r="O16" s="83">
        <f ca="1">SUM('P&amp;L'!O28:O30)</f>
        <v>1191280.6921009792</v>
      </c>
      <c r="P16" s="83">
        <f ca="1">SUM('P&amp;L'!P28:P30)</f>
        <v>1188633.3587676459</v>
      </c>
      <c r="Q16" s="83">
        <f ca="1">SUM('P&amp;L'!Q28:Q30)</f>
        <v>1190751.2254343126</v>
      </c>
      <c r="R16" s="83">
        <f ca="1">SUM('P&amp;L'!R28:R30)</f>
        <v>1194589.8587676459</v>
      </c>
      <c r="S16" s="83">
        <f ca="1">SUM('P&amp;L'!S28:S30)</f>
        <v>1196108.1822970575</v>
      </c>
      <c r="T16" s="83">
        <f ca="1">SUM('P&amp;L'!T28:T30)</f>
        <v>1197457.8032120904</v>
      </c>
      <c r="U16" s="83">
        <f ca="1">SUM('P&amp;L'!U28:U30)</f>
        <v>1202009.3587676459</v>
      </c>
      <c r="V16" s="83">
        <f ca="1">SUM('P&amp;L'!V28:V30)</f>
        <v>1201340.5587676459</v>
      </c>
      <c r="W16" s="83">
        <f ca="1">SUM('P&amp;L'!W28:W30)</f>
        <v>1201340.5587676459</v>
      </c>
    </row>
    <row r="17" spans="2:23" x14ac:dyDescent="0.2">
      <c r="B17" s="2" t="s">
        <v>294</v>
      </c>
      <c r="D17" s="83">
        <f>+'P&amp;L'!D32</f>
        <v>0</v>
      </c>
      <c r="E17" s="83">
        <f>+'P&amp;L'!E32</f>
        <v>-1547802.6608044172</v>
      </c>
      <c r="F17" s="83">
        <f ca="1">+'P&amp;L'!F32</f>
        <v>-930365.38184512139</v>
      </c>
      <c r="G17" s="83">
        <f ca="1">+'P&amp;L'!G32</f>
        <v>-959772.57582226128</v>
      </c>
      <c r="H17" s="83">
        <f ca="1">+'P&amp;L'!H32</f>
        <v>-200752.61217790237</v>
      </c>
      <c r="I17" s="83">
        <f ca="1">+'P&amp;L'!I32</f>
        <v>-1187961.9338291835</v>
      </c>
      <c r="J17" s="83">
        <f ca="1">+'P&amp;L'!J32</f>
        <v>-183984.3338291836</v>
      </c>
      <c r="K17" s="83">
        <f ca="1">+'P&amp;L'!K32</f>
        <v>596586.86617081659</v>
      </c>
      <c r="L17" s="83">
        <f ca="1">+'P&amp;L'!L32</f>
        <v>1104093.2661708165</v>
      </c>
      <c r="M17" s="83">
        <f ca="1">+'P&amp;L'!M32</f>
        <v>1627692.6661708164</v>
      </c>
      <c r="N17" s="83">
        <f ca="1">+'P&amp;L'!N32</f>
        <v>1723790.8661708166</v>
      </c>
      <c r="O17" s="83">
        <f ca="1">+'P&amp;L'!O32</f>
        <v>1729614.9995041492</v>
      </c>
      <c r="P17" s="83">
        <f ca="1">+'P&amp;L'!P32</f>
        <v>1758735.6661708164</v>
      </c>
      <c r="Q17" s="83">
        <f ca="1">+'P&amp;L'!Q32</f>
        <v>1735439.1328374827</v>
      </c>
      <c r="R17" s="83">
        <f ca="1">+'P&amp;L'!R32</f>
        <v>1693214.1661708164</v>
      </c>
      <c r="S17" s="83">
        <f ca="1">+'P&amp;L'!S32</f>
        <v>1676512.6073472872</v>
      </c>
      <c r="T17" s="83">
        <f ca="1">+'P&amp;L'!T32</f>
        <v>1661666.7772819269</v>
      </c>
      <c r="U17" s="83">
        <f ca="1">+'P&amp;L'!U32</f>
        <v>1611599.6661708164</v>
      </c>
      <c r="V17" s="83">
        <f ca="1">+'P&amp;L'!V32</f>
        <v>1618956.4661708164</v>
      </c>
      <c r="W17" s="83">
        <f ca="1">+'P&amp;L'!W32</f>
        <v>1618956.4661708164</v>
      </c>
    </row>
    <row r="18" spans="2:23" x14ac:dyDescent="0.2">
      <c r="B18" s="2" t="s">
        <v>161</v>
      </c>
      <c r="D18" s="83">
        <f ca="1">+'P&amp;L'!D34</f>
        <v>0</v>
      </c>
      <c r="E18" s="83">
        <f ca="1">+'P&amp;L'!E34</f>
        <v>0</v>
      </c>
      <c r="F18" s="83">
        <f ca="1">+'P&amp;L'!F34</f>
        <v>340516.58999999997</v>
      </c>
      <c r="G18" s="83">
        <f ca="1">+'P&amp;L'!G34</f>
        <v>441906.94769999996</v>
      </c>
      <c r="H18" s="83">
        <f ca="1">+'P&amp;L'!H34</f>
        <v>522416.95613100001</v>
      </c>
      <c r="I18" s="83">
        <f ca="1">+'P&amp;L'!I34</f>
        <v>565228.21481492999</v>
      </c>
      <c r="J18" s="83">
        <f ca="1">+'P&amp;L'!J34</f>
        <v>592839.62125937792</v>
      </c>
      <c r="K18" s="83">
        <f ca="1">+'P&amp;L'!K34</f>
        <v>591160.0298971592</v>
      </c>
      <c r="L18" s="83">
        <f ca="1">+'P&amp;L'!L34</f>
        <v>566012.89079407405</v>
      </c>
      <c r="M18" s="83">
        <f ca="1">+'P&amp;L'!M34</f>
        <v>530606.07751789619</v>
      </c>
      <c r="N18" s="83">
        <f ca="1">+'P&amp;L'!N34</f>
        <v>487973.85984343314</v>
      </c>
      <c r="O18" s="83">
        <f ca="1">+'P&amp;L'!O34</f>
        <v>444062.67563873611</v>
      </c>
      <c r="P18" s="83">
        <f ca="1">+'P&amp;L'!P34</f>
        <v>398834.15590789821</v>
      </c>
      <c r="Q18" s="83">
        <f ca="1">+'P&amp;L'!Q34</f>
        <v>352248.78058513516</v>
      </c>
      <c r="R18" s="83">
        <f ca="1">+'P&amp;L'!R34</f>
        <v>304265.84400268918</v>
      </c>
      <c r="S18" s="83">
        <f ca="1">+'P&amp;L'!S34</f>
        <v>254843.41932276986</v>
      </c>
      <c r="T18" s="83">
        <f ca="1">+'P&amp;L'!T34</f>
        <v>203938.32190245297</v>
      </c>
      <c r="U18" s="83">
        <f ca="1">+'P&amp;L'!U34</f>
        <v>151506.07155952655</v>
      </c>
      <c r="V18" s="83">
        <f ca="1">+'P&amp;L'!V34</f>
        <v>97500.853706312351</v>
      </c>
      <c r="W18" s="83">
        <f ca="1">+'P&amp;L'!W34</f>
        <v>41875.479317501718</v>
      </c>
    </row>
    <row r="19" spans="2:23" x14ac:dyDescent="0.2">
      <c r="B19" s="2" t="s">
        <v>295</v>
      </c>
      <c r="D19" s="83">
        <f ca="1">+'P&amp;L'!D39</f>
        <v>0</v>
      </c>
      <c r="E19" s="83">
        <f ca="1">+'P&amp;L'!E39</f>
        <v>-1547802.6608044172</v>
      </c>
      <c r="F19" s="83">
        <f ca="1">+'P&amp;L'!F39</f>
        <v>-1270881.9718451214</v>
      </c>
      <c r="G19" s="83">
        <f ca="1">+'P&amp;L'!G39</f>
        <v>-1401679.5235222613</v>
      </c>
      <c r="H19" s="83">
        <f ca="1">+'P&amp;L'!H39</f>
        <v>-723169.56830890244</v>
      </c>
      <c r="I19" s="83">
        <f ca="1">+'P&amp;L'!I39</f>
        <v>-1753190.1486441134</v>
      </c>
      <c r="J19" s="83">
        <f ca="1">+'P&amp;L'!J39</f>
        <v>-776823.95508856152</v>
      </c>
      <c r="K19" s="83">
        <f ca="1">+'P&amp;L'!K39</f>
        <v>5426.8362736573908</v>
      </c>
      <c r="L19" s="83">
        <f ca="1">+'P&amp;L'!L39</f>
        <v>538080.37537674245</v>
      </c>
      <c r="M19" s="83">
        <f ca="1">+'P&amp;L'!M39</f>
        <v>1097086.5886529202</v>
      </c>
      <c r="N19" s="83">
        <f ca="1">+'P&amp;L'!N39</f>
        <v>1235817.0063273835</v>
      </c>
      <c r="O19" s="83">
        <f ca="1">+'P&amp;L'!O39</f>
        <v>1285552.3238654132</v>
      </c>
      <c r="P19" s="83">
        <f ca="1">+'P&amp;L'!P39</f>
        <v>1359901.5102629182</v>
      </c>
      <c r="Q19" s="83">
        <f ca="1">+'P&amp;L'!Q39</f>
        <v>1383190.3522523476</v>
      </c>
      <c r="R19" s="83">
        <f ca="1">+'P&amp;L'!R39</f>
        <v>1388948.3221681272</v>
      </c>
      <c r="S19" s="83">
        <f ca="1">+'P&amp;L'!S39</f>
        <v>1421669.1880245174</v>
      </c>
      <c r="T19" s="83">
        <f ca="1">+'P&amp;L'!T39</f>
        <v>1457728.455379474</v>
      </c>
      <c r="U19" s="83">
        <f ca="1">+'P&amp;L'!U39</f>
        <v>1460093.5946112899</v>
      </c>
      <c r="V19" s="83">
        <f ca="1">+'P&amp;L'!V39</f>
        <v>1521455.6124645041</v>
      </c>
      <c r="W19" s="83">
        <f ca="1">+'P&amp;L'!W39</f>
        <v>1577080.9868533148</v>
      </c>
    </row>
    <row r="20" spans="2:23" x14ac:dyDescent="0.2">
      <c r="B20" s="2" t="s">
        <v>211</v>
      </c>
      <c r="D20" s="83">
        <f>+'P&amp;L'!D41</f>
        <v>0</v>
      </c>
      <c r="E20" s="83">
        <f ca="1">+'P&amp;L'!E41</f>
        <v>0</v>
      </c>
      <c r="F20" s="83">
        <f ca="1">+'P&amp;L'!F41</f>
        <v>0</v>
      </c>
      <c r="G20" s="83">
        <f ca="1">+'P&amp;L'!G41</f>
        <v>0</v>
      </c>
      <c r="H20" s="83">
        <f ca="1">+'P&amp;L'!H41</f>
        <v>0</v>
      </c>
      <c r="I20" s="83">
        <f ca="1">+'P&amp;L'!I41</f>
        <v>0</v>
      </c>
      <c r="J20" s="83">
        <f ca="1">+'P&amp;L'!J41</f>
        <v>0</v>
      </c>
      <c r="K20" s="83">
        <f ca="1">+'P&amp;L'!K41</f>
        <v>0</v>
      </c>
      <c r="L20" s="83">
        <f ca="1">+'P&amp;L'!L41</f>
        <v>0</v>
      </c>
      <c r="M20" s="83">
        <f ca="1">+'P&amp;L'!M41</f>
        <v>0</v>
      </c>
      <c r="N20" s="83">
        <f ca="1">+'P&amp;L'!N41</f>
        <v>0</v>
      </c>
      <c r="O20" s="83">
        <f ca="1">+'P&amp;L'!O41</f>
        <v>0</v>
      </c>
      <c r="P20" s="83">
        <f ca="1">+'P&amp;L'!P41</f>
        <v>0</v>
      </c>
      <c r="Q20" s="83">
        <f ca="1">+'P&amp;L'!Q41</f>
        <v>0</v>
      </c>
      <c r="R20" s="83">
        <f ca="1">+'P&amp;L'!R41</f>
        <v>0</v>
      </c>
      <c r="S20" s="83">
        <f ca="1">+'P&amp;L'!S41</f>
        <v>0</v>
      </c>
      <c r="T20" s="83">
        <f ca="1">+'P&amp;L'!T41</f>
        <v>0</v>
      </c>
      <c r="U20" s="83">
        <f ca="1">+'P&amp;L'!U41</f>
        <v>0</v>
      </c>
      <c r="V20" s="83">
        <f ca="1">+'P&amp;L'!V41</f>
        <v>0</v>
      </c>
      <c r="W20" s="83">
        <f ca="1">+'P&amp;L'!W41</f>
        <v>0</v>
      </c>
    </row>
    <row r="21" spans="2:23" x14ac:dyDescent="0.2">
      <c r="B21" s="2" t="s">
        <v>296</v>
      </c>
      <c r="D21" s="83">
        <f ca="1">+'P&amp;L'!D43</f>
        <v>0</v>
      </c>
      <c r="E21" s="83">
        <f ca="1">+'P&amp;L'!E43</f>
        <v>-1547802.6608044172</v>
      </c>
      <c r="F21" s="83">
        <f ca="1">+'P&amp;L'!F43</f>
        <v>-1270881.9718451214</v>
      </c>
      <c r="G21" s="83">
        <f ca="1">+'P&amp;L'!G43</f>
        <v>-1401679.5235222613</v>
      </c>
      <c r="H21" s="83">
        <f ca="1">+'P&amp;L'!H43</f>
        <v>-723169.56830890244</v>
      </c>
      <c r="I21" s="83">
        <f ca="1">+'P&amp;L'!I43</f>
        <v>-1753190.1486441134</v>
      </c>
      <c r="J21" s="83">
        <f ca="1">+'P&amp;L'!J43</f>
        <v>-776823.95508856152</v>
      </c>
      <c r="K21" s="83">
        <f ca="1">+'P&amp;L'!K43</f>
        <v>5426.8362736573908</v>
      </c>
      <c r="L21" s="83">
        <f ca="1">+'P&amp;L'!L43</f>
        <v>538080.37537674245</v>
      </c>
      <c r="M21" s="83">
        <f ca="1">+'P&amp;L'!M43</f>
        <v>1097086.5886529202</v>
      </c>
      <c r="N21" s="83">
        <f ca="1">+'P&amp;L'!N43</f>
        <v>1235817.0063273835</v>
      </c>
      <c r="O21" s="83">
        <f ca="1">+'P&amp;L'!O43</f>
        <v>1285552.3238654132</v>
      </c>
      <c r="P21" s="83">
        <f ca="1">+'P&amp;L'!P43</f>
        <v>1359901.5102629182</v>
      </c>
      <c r="Q21" s="83">
        <f ca="1">+'P&amp;L'!Q43</f>
        <v>1383190.3522523476</v>
      </c>
      <c r="R21" s="83">
        <f ca="1">+'P&amp;L'!R43</f>
        <v>1388948.3221681272</v>
      </c>
      <c r="S21" s="83">
        <f ca="1">+'P&amp;L'!S43</f>
        <v>1421669.1880245174</v>
      </c>
      <c r="T21" s="83">
        <f ca="1">+'P&amp;L'!T43</f>
        <v>1457728.455379474</v>
      </c>
      <c r="U21" s="83">
        <f ca="1">+'P&amp;L'!U43</f>
        <v>1460093.5946112899</v>
      </c>
      <c r="V21" s="83">
        <f ca="1">+'P&amp;L'!V43</f>
        <v>1521455.6124645041</v>
      </c>
      <c r="W21" s="83">
        <f ca="1">+'P&amp;L'!W43</f>
        <v>1577080.9868533148</v>
      </c>
    </row>
    <row r="23" spans="2:23" x14ac:dyDescent="0.2">
      <c r="B23" s="39" t="s">
        <v>297</v>
      </c>
    </row>
    <row r="24" spans="2:23" x14ac:dyDescent="0.2">
      <c r="B24" s="2" t="s">
        <v>294</v>
      </c>
      <c r="D24" s="83">
        <f>+'CF &amp; WC'!D8</f>
        <v>0</v>
      </c>
      <c r="E24" s="83">
        <f>+'CF &amp; WC'!E8</f>
        <v>-1547802.6608044172</v>
      </c>
      <c r="F24" s="83">
        <f ca="1">+'CF &amp; WC'!F8</f>
        <v>-930365.38184512139</v>
      </c>
      <c r="G24" s="83">
        <f ca="1">+'CF &amp; WC'!G8</f>
        <v>-959772.57582226128</v>
      </c>
      <c r="H24" s="83">
        <f ca="1">+'CF &amp; WC'!H8</f>
        <v>-200752.61217790237</v>
      </c>
      <c r="I24" s="83">
        <f ca="1">+'CF &amp; WC'!I8</f>
        <v>-1187961.9338291835</v>
      </c>
      <c r="J24" s="83">
        <f ca="1">+'CF &amp; WC'!J8</f>
        <v>-183984.3338291836</v>
      </c>
      <c r="K24" s="83">
        <f ca="1">+'CF &amp; WC'!K8</f>
        <v>596586.86617081659</v>
      </c>
      <c r="L24" s="83">
        <f ca="1">+'CF &amp; WC'!L8</f>
        <v>1104093.2661708165</v>
      </c>
      <c r="M24" s="83">
        <f ca="1">+'CF &amp; WC'!M8</f>
        <v>1627692.6661708164</v>
      </c>
      <c r="N24" s="83">
        <f ca="1">+'CF &amp; WC'!N8</f>
        <v>1723790.8661708166</v>
      </c>
      <c r="O24" s="83">
        <f ca="1">+'CF &amp; WC'!O8</f>
        <v>1729614.9995041492</v>
      </c>
      <c r="P24" s="83">
        <f ca="1">+'CF &amp; WC'!P8</f>
        <v>1758735.6661708164</v>
      </c>
      <c r="Q24" s="83">
        <f ca="1">+'CF &amp; WC'!Q8</f>
        <v>1735439.1328374827</v>
      </c>
      <c r="R24" s="83">
        <f ca="1">+'CF &amp; WC'!R8</f>
        <v>1693214.1661708164</v>
      </c>
      <c r="S24" s="83">
        <f ca="1">+'CF &amp; WC'!S8</f>
        <v>1676512.6073472872</v>
      </c>
      <c r="T24" s="83">
        <f ca="1">+'CF &amp; WC'!T8</f>
        <v>1661666.7772819269</v>
      </c>
      <c r="U24" s="83">
        <f ca="1">+'CF &amp; WC'!U8</f>
        <v>1611599.6661708164</v>
      </c>
      <c r="V24" s="83">
        <f ca="1">+'CF &amp; WC'!V8</f>
        <v>1618956.4661708164</v>
      </c>
      <c r="W24" s="83">
        <f ca="1">+'CF &amp; WC'!W8</f>
        <v>1618956.4661708164</v>
      </c>
    </row>
    <row r="25" spans="2:23" x14ac:dyDescent="0.2">
      <c r="B25" s="2" t="s">
        <v>316</v>
      </c>
      <c r="D25" s="83">
        <f>+'CF &amp; WC'!D10</f>
        <v>0</v>
      </c>
      <c r="E25" s="83">
        <f>+'CF &amp; WC'!E10</f>
        <v>515934.22026813909</v>
      </c>
      <c r="F25" s="83">
        <f>+'CF &amp; WC'!F10</f>
        <v>654077.94079379982</v>
      </c>
      <c r="G25" s="83">
        <f>+'CF &amp; WC'!G10</f>
        <v>755976.15246995364</v>
      </c>
      <c r="H25" s="83">
        <f>+'CF &amp; WC'!H10</f>
        <v>832810.26126149204</v>
      </c>
      <c r="I25" s="83">
        <f>+'CF &amp; WC'!I10</f>
        <v>832810.26126149204</v>
      </c>
      <c r="J25" s="83">
        <f>+'CF &amp; WC'!J10</f>
        <v>832810.26126149204</v>
      </c>
      <c r="K25" s="83">
        <f>+'CF &amp; WC'!K10</f>
        <v>832810.26126149204</v>
      </c>
      <c r="L25" s="83">
        <f>+'CF &amp; WC'!L10</f>
        <v>832810.26126149204</v>
      </c>
      <c r="M25" s="83">
        <f>+'CF &amp; WC'!M10</f>
        <v>832810.26126149204</v>
      </c>
      <c r="N25" s="83">
        <f>+'CF &amp; WC'!N10</f>
        <v>832810.26126149204</v>
      </c>
      <c r="O25" s="83">
        <f>+'CF &amp; WC'!O10</f>
        <v>832810.26126149204</v>
      </c>
      <c r="P25" s="83">
        <f>+'CF &amp; WC'!P10</f>
        <v>832810.26126149204</v>
      </c>
      <c r="Q25" s="83">
        <f>+'CF &amp; WC'!Q10</f>
        <v>832810.26126149204</v>
      </c>
      <c r="R25" s="83">
        <f>+'CF &amp; WC'!R10</f>
        <v>832810.26126149204</v>
      </c>
      <c r="S25" s="83">
        <f>+'CF &amp; WC'!S10</f>
        <v>832810.26126149204</v>
      </c>
      <c r="T25" s="83">
        <f>+'CF &amp; WC'!T10</f>
        <v>832810.26126149204</v>
      </c>
      <c r="U25" s="83">
        <f>+'CF &amp; WC'!U10</f>
        <v>832810.26126149204</v>
      </c>
      <c r="V25" s="83">
        <f>+'CF &amp; WC'!V10</f>
        <v>832810.26126149204</v>
      </c>
      <c r="W25" s="83">
        <f>+'CF &amp; WC'!W10</f>
        <v>832810.26126149204</v>
      </c>
    </row>
    <row r="26" spans="2:23" x14ac:dyDescent="0.2">
      <c r="B26" s="2" t="s">
        <v>317</v>
      </c>
      <c r="D26" s="2">
        <f>+'CF &amp; WC'!D12</f>
        <v>0</v>
      </c>
      <c r="E26" s="2">
        <f>+'CF &amp; WC'!E12</f>
        <v>0</v>
      </c>
      <c r="F26" s="2">
        <f>+'CF &amp; WC'!F12</f>
        <v>0</v>
      </c>
      <c r="G26" s="2">
        <f>+'CF &amp; WC'!G12</f>
        <v>0</v>
      </c>
      <c r="H26" s="2">
        <f>+'CF &amp; WC'!H12</f>
        <v>0</v>
      </c>
      <c r="I26" s="2">
        <f>+'CF &amp; WC'!I12</f>
        <v>0</v>
      </c>
      <c r="J26" s="2">
        <f>+'CF &amp; WC'!J12</f>
        <v>0</v>
      </c>
      <c r="K26" s="2">
        <f>+'CF &amp; WC'!K12</f>
        <v>0</v>
      </c>
      <c r="L26" s="2">
        <f>+'CF &amp; WC'!L12</f>
        <v>0</v>
      </c>
      <c r="M26" s="2">
        <f>+'CF &amp; WC'!M12</f>
        <v>0</v>
      </c>
      <c r="N26" s="2">
        <f>+'CF &amp; WC'!N12</f>
        <v>0</v>
      </c>
      <c r="O26" s="2">
        <f>+'CF &amp; WC'!O12</f>
        <v>0</v>
      </c>
      <c r="P26" s="2">
        <f>+'CF &amp; WC'!P12</f>
        <v>0</v>
      </c>
      <c r="Q26" s="2">
        <f>+'CF &amp; WC'!Q12</f>
        <v>0</v>
      </c>
      <c r="R26" s="2">
        <f>+'CF &amp; WC'!R12</f>
        <v>0</v>
      </c>
      <c r="S26" s="2">
        <f>+'CF &amp; WC'!S12</f>
        <v>0</v>
      </c>
      <c r="T26" s="2">
        <f>+'CF &amp; WC'!T12</f>
        <v>0</v>
      </c>
      <c r="U26" s="2">
        <f>+'CF &amp; WC'!U12</f>
        <v>0</v>
      </c>
      <c r="V26" s="2">
        <f>+'CF &amp; WC'!V12</f>
        <v>0</v>
      </c>
      <c r="W26" s="2">
        <f>+'CF &amp; WC'!W12</f>
        <v>0</v>
      </c>
    </row>
    <row r="27" spans="2:23" x14ac:dyDescent="0.2">
      <c r="B27" s="2" t="s">
        <v>318</v>
      </c>
      <c r="D27" s="83">
        <f>+'CF &amp; WC'!D13</f>
        <v>0</v>
      </c>
      <c r="E27" s="83">
        <f>+'CF &amp; WC'!E13</f>
        <v>0</v>
      </c>
      <c r="F27" s="83">
        <f ca="1">+'CF &amp; WC'!F13</f>
        <v>0</v>
      </c>
      <c r="G27" s="83">
        <f ca="1">+'CF &amp; WC'!G13</f>
        <v>0</v>
      </c>
      <c r="H27" s="83">
        <f ca="1">+'CF &amp; WC'!H13</f>
        <v>0</v>
      </c>
      <c r="I27" s="83">
        <f ca="1">+'CF &amp; WC'!I13</f>
        <v>0</v>
      </c>
      <c r="J27" s="83">
        <f ca="1">+'CF &amp; WC'!J13</f>
        <v>0</v>
      </c>
      <c r="K27" s="83">
        <f ca="1">+'CF &amp; WC'!K13</f>
        <v>0</v>
      </c>
      <c r="L27" s="83">
        <f ca="1">+'CF &amp; WC'!L13</f>
        <v>0</v>
      </c>
      <c r="M27" s="83">
        <f ca="1">+'CF &amp; WC'!M13</f>
        <v>0</v>
      </c>
      <c r="N27" s="83">
        <f ca="1">+'CF &amp; WC'!N13</f>
        <v>0</v>
      </c>
      <c r="O27" s="83">
        <f ca="1">+'CF &amp; WC'!O13</f>
        <v>0</v>
      </c>
      <c r="P27" s="83">
        <f ca="1">+'CF &amp; WC'!P13</f>
        <v>0</v>
      </c>
      <c r="Q27" s="83">
        <f ca="1">+'CF &amp; WC'!Q13</f>
        <v>0</v>
      </c>
      <c r="R27" s="83">
        <f ca="1">+'CF &amp; WC'!R13</f>
        <v>0</v>
      </c>
      <c r="S27" s="83">
        <f ca="1">+'CF &amp; WC'!S13</f>
        <v>0</v>
      </c>
      <c r="T27" s="83">
        <f ca="1">+'CF &amp; WC'!T13</f>
        <v>0</v>
      </c>
      <c r="U27" s="83">
        <f ca="1">+'CF &amp; WC'!U13</f>
        <v>0</v>
      </c>
      <c r="V27" s="83">
        <f ca="1">+'CF &amp; WC'!V13</f>
        <v>0</v>
      </c>
      <c r="W27" s="83">
        <f ca="1">+'CF &amp; WC'!W13</f>
        <v>0</v>
      </c>
    </row>
    <row r="28" spans="2:23" x14ac:dyDescent="0.2">
      <c r="B28" s="2" t="s">
        <v>319</v>
      </c>
      <c r="D28" s="83">
        <f>SUM('CF &amp; WC'!D17:D19)</f>
        <v>0</v>
      </c>
      <c r="E28" s="83">
        <f>SUM('CF &amp; WC'!E17:E19)</f>
        <v>-10318684.405362781</v>
      </c>
      <c r="F28" s="83">
        <f>SUM('CF &amp; WC'!F17:F19)</f>
        <v>-2762874.4105132157</v>
      </c>
      <c r="G28" s="83">
        <f>SUM('CF &amp; WC'!G17:G19)</f>
        <v>-2037964.2335230764</v>
      </c>
      <c r="H28" s="83">
        <f>SUM('CF &amp; WC'!H17:H19)</f>
        <v>-1536682.1758307689</v>
      </c>
      <c r="I28" s="83">
        <f>SUM('CF &amp; WC'!I17:I19)</f>
        <v>0</v>
      </c>
      <c r="J28" s="83">
        <f>SUM('CF &amp; WC'!J17:J19)</f>
        <v>0</v>
      </c>
      <c r="K28" s="83">
        <f>SUM('CF &amp; WC'!K17:K19)</f>
        <v>0</v>
      </c>
      <c r="L28" s="83">
        <f>SUM('CF &amp; WC'!L17:L19)</f>
        <v>0</v>
      </c>
      <c r="M28" s="83">
        <f>SUM('CF &amp; WC'!M17:M19)</f>
        <v>0</v>
      </c>
      <c r="N28" s="83">
        <f>SUM('CF &amp; WC'!N17:N19)</f>
        <v>0</v>
      </c>
      <c r="O28" s="83">
        <f>SUM('CF &amp; WC'!O17:O19)</f>
        <v>0</v>
      </c>
      <c r="P28" s="83">
        <f>SUM('CF &amp; WC'!P17:P19)</f>
        <v>0</v>
      </c>
      <c r="Q28" s="83">
        <f>SUM('CF &amp; WC'!Q17:Q19)</f>
        <v>0</v>
      </c>
      <c r="R28" s="83">
        <f>SUM('CF &amp; WC'!R17:R19)</f>
        <v>0</v>
      </c>
      <c r="S28" s="83">
        <f>SUM('CF &amp; WC'!S17:S19)</f>
        <v>0</v>
      </c>
      <c r="T28" s="83">
        <f>SUM('CF &amp; WC'!T17:T19)</f>
        <v>0</v>
      </c>
      <c r="U28" s="83">
        <f>SUM('CF &amp; WC'!U17:U19)</f>
        <v>0</v>
      </c>
      <c r="V28" s="83">
        <f>SUM('CF &amp; WC'!V17:V19)</f>
        <v>0</v>
      </c>
      <c r="W28" s="83">
        <f>SUM('CF &amp; WC'!W17:W19)</f>
        <v>0</v>
      </c>
    </row>
    <row r="29" spans="2:23" x14ac:dyDescent="0.2">
      <c r="B29" s="2" t="s">
        <v>263</v>
      </c>
      <c r="D29" s="83">
        <f>+'CF &amp; WC'!D21</f>
        <v>0</v>
      </c>
      <c r="E29" s="83">
        <f>+'CF &amp; WC'!E21</f>
        <v>-11350552.845899059</v>
      </c>
      <c r="F29" s="83">
        <f ca="1">+'CF &amp; WC'!F21</f>
        <v>-3039161.8515645373</v>
      </c>
      <c r="G29" s="83">
        <f ca="1">+'CF &amp; WC'!G21</f>
        <v>-2241760.656875384</v>
      </c>
      <c r="H29" s="83">
        <f ca="1">+'CF &amp; WC'!H21</f>
        <v>-904624.52674717922</v>
      </c>
      <c r="I29" s="83">
        <f ca="1">+'CF &amp; WC'!I21</f>
        <v>-355151.67256769142</v>
      </c>
      <c r="J29" s="83">
        <f ca="1">+'CF &amp; WC'!J21</f>
        <v>648825.92743230844</v>
      </c>
      <c r="K29" s="83">
        <f ca="1">+'CF &amp; WC'!K21</f>
        <v>1429397.1274323086</v>
      </c>
      <c r="L29" s="83">
        <f ca="1">+'CF &amp; WC'!L21</f>
        <v>1936903.5274323085</v>
      </c>
      <c r="M29" s="83">
        <f ca="1">+'CF &amp; WC'!M21</f>
        <v>2460502.9274323084</v>
      </c>
      <c r="N29" s="83">
        <f ca="1">+'CF &amp; WC'!N21</f>
        <v>2556601.1274323086</v>
      </c>
      <c r="O29" s="83">
        <f ca="1">+'CF &amp; WC'!O21</f>
        <v>2562425.260765641</v>
      </c>
      <c r="P29" s="83">
        <f ca="1">+'CF &amp; WC'!P21</f>
        <v>2591545.9274323084</v>
      </c>
      <c r="Q29" s="83">
        <f ca="1">+'CF &amp; WC'!Q21</f>
        <v>2568249.3940989748</v>
      </c>
      <c r="R29" s="83">
        <f ca="1">+'CF &amp; WC'!R21</f>
        <v>2526024.4274323084</v>
      </c>
      <c r="S29" s="83">
        <f ca="1">+'CF &amp; WC'!S21</f>
        <v>2509322.8686087793</v>
      </c>
      <c r="T29" s="83">
        <f ca="1">+'CF &amp; WC'!T21</f>
        <v>2494477.038543419</v>
      </c>
      <c r="U29" s="83">
        <f ca="1">+'CF &amp; WC'!U21</f>
        <v>2444409.9274323084</v>
      </c>
      <c r="V29" s="83">
        <f ca="1">+'CF &amp; WC'!V21</f>
        <v>2451766.7274323087</v>
      </c>
      <c r="W29" s="83">
        <f ca="1">+'CF &amp; WC'!W21</f>
        <v>2451766.7274323087</v>
      </c>
    </row>
    <row r="30" spans="2:23" x14ac:dyDescent="0.2">
      <c r="B30" s="2" t="s">
        <v>298</v>
      </c>
      <c r="D30" s="83">
        <f>+'CF &amp; WC'!D24</f>
        <v>0</v>
      </c>
      <c r="E30" s="83">
        <f>+'CF &amp; WC'!E24</f>
        <v>0</v>
      </c>
      <c r="F30" s="83">
        <f>+'CF &amp; WC'!F24</f>
        <v>0</v>
      </c>
      <c r="G30" s="83">
        <f>+'CF &amp; WC'!G24</f>
        <v>0</v>
      </c>
      <c r="H30" s="83">
        <f>+'CF &amp; WC'!H24</f>
        <v>0</v>
      </c>
      <c r="I30" s="83">
        <f>+'CF &amp; WC'!I24</f>
        <v>0</v>
      </c>
      <c r="J30" s="83">
        <f>+'CF &amp; WC'!J24</f>
        <v>0</v>
      </c>
      <c r="K30" s="83">
        <f>+'CF &amp; WC'!K24</f>
        <v>0</v>
      </c>
      <c r="L30" s="83">
        <f>+'CF &amp; WC'!L24</f>
        <v>0</v>
      </c>
      <c r="M30" s="83">
        <f>+'CF &amp; WC'!M24</f>
        <v>0</v>
      </c>
      <c r="N30" s="83">
        <f>+'CF &amp; WC'!N24</f>
        <v>0</v>
      </c>
      <c r="O30" s="83">
        <f>+'CF &amp; WC'!O24</f>
        <v>0</v>
      </c>
      <c r="P30" s="83">
        <f>+'CF &amp; WC'!P24</f>
        <v>0</v>
      </c>
      <c r="Q30" s="83">
        <f>+'CF &amp; WC'!Q24</f>
        <v>0</v>
      </c>
      <c r="R30" s="83">
        <f>+'CF &amp; WC'!R24</f>
        <v>0</v>
      </c>
      <c r="S30" s="83">
        <f>+'CF &amp; WC'!S24</f>
        <v>0</v>
      </c>
      <c r="T30" s="83">
        <f>+'CF &amp; WC'!T24</f>
        <v>0</v>
      </c>
      <c r="U30" s="83">
        <f>+'CF &amp; WC'!U24</f>
        <v>0</v>
      </c>
      <c r="V30" s="83">
        <f>+'CF &amp; WC'!V24</f>
        <v>0</v>
      </c>
      <c r="W30" s="83">
        <f>+'CF &amp; WC'!W24</f>
        <v>0</v>
      </c>
    </row>
    <row r="31" spans="2:23" x14ac:dyDescent="0.2">
      <c r="B31" s="83" t="s">
        <v>299</v>
      </c>
      <c r="D31" s="83">
        <f>SUM('CF &amp; WC'!D25:D25)</f>
        <v>0</v>
      </c>
      <c r="E31" s="83">
        <f>SUM('CF &amp; WC'!E25:E25)</f>
        <v>11350553</v>
      </c>
      <c r="F31" s="83">
        <f>SUM('CF &amp; WC'!F25:F25)</f>
        <v>3039162</v>
      </c>
      <c r="G31" s="83">
        <f>SUM('CF &amp; WC'!G25:G25)</f>
        <v>2241760</v>
      </c>
      <c r="H31" s="83">
        <f>SUM('CF &amp; WC'!H25:H25)</f>
        <v>1315505</v>
      </c>
      <c r="I31" s="83">
        <f>SUM('CF &amp; WC'!I25:I25)</f>
        <v>1176912</v>
      </c>
      <c r="J31" s="83">
        <f>SUM('CF &amp; WC'!J25:J25)</f>
        <v>583814</v>
      </c>
      <c r="K31" s="83">
        <f>SUM('CF &amp; WC'!K25:K25)</f>
        <v>111402</v>
      </c>
      <c r="L31" s="83">
        <f>SUM('CF &amp; WC'!L25:L25)</f>
        <v>0</v>
      </c>
      <c r="M31" s="83">
        <f>SUM('CF &amp; WC'!M25:M25)</f>
        <v>0</v>
      </c>
      <c r="N31" s="83">
        <f>SUM('CF &amp; WC'!N25:N25)</f>
        <v>0</v>
      </c>
      <c r="O31" s="83">
        <f>SUM('CF &amp; WC'!O25:O25)</f>
        <v>0</v>
      </c>
      <c r="P31" s="83">
        <f>SUM('CF &amp; WC'!P25:P25)</f>
        <v>0</v>
      </c>
      <c r="Q31" s="83">
        <f>SUM('CF &amp; WC'!Q25:Q25)</f>
        <v>0</v>
      </c>
      <c r="R31" s="83">
        <f>SUM('CF &amp; WC'!R25:R25)</f>
        <v>0</v>
      </c>
      <c r="S31" s="83">
        <f>SUM('CF &amp; WC'!S25:S25)</f>
        <v>0</v>
      </c>
      <c r="T31" s="83">
        <f>SUM('CF &amp; WC'!T25:T25)</f>
        <v>0</v>
      </c>
      <c r="U31" s="83">
        <f>SUM('CF &amp; WC'!U25:U25)</f>
        <v>0</v>
      </c>
      <c r="V31" s="83">
        <f>SUM('CF &amp; WC'!V25:V25)</f>
        <v>0</v>
      </c>
      <c r="W31" s="83">
        <f>SUM('CF &amp; WC'!W25:W25)</f>
        <v>0</v>
      </c>
    </row>
    <row r="32" spans="2:23" x14ac:dyDescent="0.2">
      <c r="B32" s="2" t="s">
        <v>300</v>
      </c>
    </row>
    <row r="33" spans="2:23" x14ac:dyDescent="0.2">
      <c r="B33" s="2" t="s">
        <v>320</v>
      </c>
      <c r="D33" s="83">
        <f>'CF &amp; WC'!D32</f>
        <v>0</v>
      </c>
      <c r="E33" s="123">
        <f>'CF &amp; WC'!E32</f>
        <v>0</v>
      </c>
      <c r="F33" s="123">
        <f>'CF &amp; WC'!F32</f>
        <v>0</v>
      </c>
      <c r="G33" s="123">
        <f>'CF &amp; WC'!G32</f>
        <v>0</v>
      </c>
      <c r="H33" s="123">
        <f>'CF &amp; WC'!H32</f>
        <v>0</v>
      </c>
      <c r="I33" s="123">
        <f>'CF &amp; WC'!I32</f>
        <v>0</v>
      </c>
      <c r="J33" s="123">
        <f>'CF &amp; WC'!J32</f>
        <v>0</v>
      </c>
      <c r="K33" s="123">
        <f>'CF &amp; WC'!K32</f>
        <v>0</v>
      </c>
      <c r="L33" s="123">
        <f>'CF &amp; WC'!L32</f>
        <v>0</v>
      </c>
      <c r="M33" s="123">
        <f>'CF &amp; WC'!M32</f>
        <v>0</v>
      </c>
      <c r="N33" s="123">
        <f>'CF &amp; WC'!N32</f>
        <v>0</v>
      </c>
      <c r="O33" s="123">
        <f>'CF &amp; WC'!O32</f>
        <v>0</v>
      </c>
      <c r="P33" s="123">
        <f>'CF &amp; WC'!P32</f>
        <v>0</v>
      </c>
      <c r="Q33" s="123">
        <f>'CF &amp; WC'!Q32</f>
        <v>0</v>
      </c>
      <c r="R33" s="123">
        <f>'CF &amp; WC'!R32</f>
        <v>0</v>
      </c>
      <c r="S33" s="123">
        <f>'CF &amp; WC'!S32</f>
        <v>0</v>
      </c>
      <c r="T33" s="123">
        <f>'CF &amp; WC'!T32</f>
        <v>0</v>
      </c>
      <c r="U33" s="123">
        <f>'CF &amp; WC'!U32</f>
        <v>0</v>
      </c>
      <c r="V33" s="123">
        <f>'CF &amp; WC'!V32</f>
        <v>0</v>
      </c>
      <c r="W33" s="123">
        <f>'CF &amp; WC'!W32</f>
        <v>0</v>
      </c>
    </row>
    <row r="34" spans="2:23" x14ac:dyDescent="0.2">
      <c r="B34" s="38" t="s">
        <v>321</v>
      </c>
      <c r="D34" s="83">
        <f>'CF &amp; WC'!D31</f>
        <v>0</v>
      </c>
      <c r="E34" s="123">
        <f>'CF &amp; WC'!E31</f>
        <v>0</v>
      </c>
      <c r="F34" s="123">
        <f>'CF &amp; WC'!F31</f>
        <v>0</v>
      </c>
      <c r="G34" s="123">
        <f>'CF &amp; WC'!G31</f>
        <v>0</v>
      </c>
      <c r="H34" s="123">
        <f ca="1">'CF &amp; WC'!H31</f>
        <v>410880</v>
      </c>
      <c r="I34" s="123">
        <f ca="1">'CF &amp; WC'!I31</f>
        <v>821760</v>
      </c>
      <c r="J34" s="123">
        <f ca="1">'CF &amp; WC'!J31</f>
        <v>1232640</v>
      </c>
      <c r="K34" s="123">
        <f ca="1">'CF &amp; WC'!K31</f>
        <v>1540800</v>
      </c>
      <c r="L34" s="123">
        <f ca="1">'CF &amp; WC'!L31</f>
        <v>1746240</v>
      </c>
      <c r="M34" s="123">
        <f ca="1">'CF &amp; WC'!M31</f>
        <v>1951680</v>
      </c>
      <c r="N34" s="123">
        <f ca="1">'CF &amp; WC'!N31</f>
        <v>1951680</v>
      </c>
      <c r="O34" s="123">
        <f ca="1">'CF &amp; WC'!O31</f>
        <v>1951680</v>
      </c>
      <c r="P34" s="123">
        <f ca="1">'CF &amp; WC'!P31</f>
        <v>1951680</v>
      </c>
      <c r="Q34" s="123">
        <f ca="1">'CF &amp; WC'!Q31</f>
        <v>1951680</v>
      </c>
      <c r="R34" s="123">
        <f ca="1">'CF &amp; WC'!R31</f>
        <v>1951680</v>
      </c>
      <c r="S34" s="123">
        <f ca="1">'CF &amp; WC'!S31</f>
        <v>1951680</v>
      </c>
      <c r="T34" s="123">
        <f ca="1">'CF &amp; WC'!T31</f>
        <v>1951680</v>
      </c>
      <c r="U34" s="123">
        <f ca="1">'CF &amp; WC'!U31</f>
        <v>1951680</v>
      </c>
      <c r="V34" s="123">
        <f ca="1">'CF &amp; WC'!V31</f>
        <v>1951680</v>
      </c>
      <c r="W34" s="123">
        <f ca="1">'CF &amp; WC'!W31</f>
        <v>1437724.7899008924</v>
      </c>
    </row>
    <row r="35" spans="2:23" x14ac:dyDescent="0.2">
      <c r="B35" s="2" t="s">
        <v>322</v>
      </c>
      <c r="D35" s="83">
        <f>+'CF &amp; WC'!D27</f>
        <v>0</v>
      </c>
      <c r="E35" s="83">
        <f>+'CF &amp; WC'!E27</f>
        <v>0</v>
      </c>
      <c r="F35" s="83">
        <f ca="1">+'CF &amp; WC'!F27</f>
        <v>0</v>
      </c>
      <c r="G35" s="83">
        <f ca="1">+'CF &amp; WC'!G27</f>
        <v>0</v>
      </c>
      <c r="H35" s="83">
        <f ca="1">+'CF &amp; WC'!H27</f>
        <v>0</v>
      </c>
      <c r="I35" s="83">
        <f ca="1">+'CF &amp; WC'!I27</f>
        <v>0</v>
      </c>
      <c r="J35" s="83">
        <f ca="1">+'CF &amp; WC'!J27</f>
        <v>0</v>
      </c>
      <c r="K35" s="83">
        <f ca="1">+'CF &amp; WC'!K27</f>
        <v>0</v>
      </c>
      <c r="L35" s="83">
        <f ca="1">+'CF &amp; WC'!L27</f>
        <v>0</v>
      </c>
      <c r="M35" s="83">
        <f ca="1">+'CF &amp; WC'!M27</f>
        <v>0</v>
      </c>
      <c r="N35" s="83">
        <f ca="1">+'CF &amp; WC'!N27</f>
        <v>0</v>
      </c>
      <c r="O35" s="83">
        <f ca="1">+'CF &amp; WC'!O27</f>
        <v>0</v>
      </c>
      <c r="P35" s="83">
        <f ca="1">+'CF &amp; WC'!P27</f>
        <v>0</v>
      </c>
      <c r="Q35" s="83">
        <f ca="1">+'CF &amp; WC'!Q27</f>
        <v>0</v>
      </c>
      <c r="R35" s="83">
        <f ca="1">+'CF &amp; WC'!R27</f>
        <v>0</v>
      </c>
      <c r="S35" s="83">
        <f ca="1">+'CF &amp; WC'!S27</f>
        <v>0</v>
      </c>
      <c r="T35" s="83">
        <f ca="1">+'CF &amp; WC'!T27</f>
        <v>0</v>
      </c>
      <c r="U35" s="83">
        <f ca="1">+'CF &amp; WC'!U27</f>
        <v>0</v>
      </c>
      <c r="V35" s="83">
        <f ca="1">+'CF &amp; WC'!V27</f>
        <v>0</v>
      </c>
      <c r="W35" s="83">
        <f ca="1">+'CF &amp; WC'!W27</f>
        <v>0</v>
      </c>
    </row>
    <row r="36" spans="2:23" x14ac:dyDescent="0.2">
      <c r="B36" s="2" t="s">
        <v>323</v>
      </c>
      <c r="D36" s="2">
        <f>+'CF &amp; WC'!D36</f>
        <v>0</v>
      </c>
      <c r="E36" s="2">
        <f>+'CF &amp; WC'!E36</f>
        <v>0</v>
      </c>
      <c r="F36" s="2">
        <f>+'CF &amp; WC'!F36</f>
        <v>0</v>
      </c>
      <c r="G36" s="2">
        <f>+'CF &amp; WC'!G36</f>
        <v>0</v>
      </c>
      <c r="H36" s="2">
        <f>+'CF &amp; WC'!H36</f>
        <v>0</v>
      </c>
      <c r="I36" s="2">
        <f>+'CF &amp; WC'!I36</f>
        <v>0</v>
      </c>
      <c r="J36" s="2">
        <f>+'CF &amp; WC'!J36</f>
        <v>0</v>
      </c>
      <c r="K36" s="2">
        <f>+'CF &amp; WC'!K36</f>
        <v>0</v>
      </c>
      <c r="L36" s="2">
        <f>+'CF &amp; WC'!L36</f>
        <v>0</v>
      </c>
      <c r="M36" s="2">
        <f>+'CF &amp; WC'!M36</f>
        <v>0</v>
      </c>
      <c r="N36" s="2">
        <f>+'CF &amp; WC'!N36</f>
        <v>0</v>
      </c>
      <c r="O36" s="2">
        <f>+'CF &amp; WC'!O36</f>
        <v>0</v>
      </c>
      <c r="P36" s="2">
        <f>+'CF &amp; WC'!P36</f>
        <v>0</v>
      </c>
      <c r="Q36" s="2">
        <f>+'CF &amp; WC'!Q36</f>
        <v>0</v>
      </c>
      <c r="R36" s="2">
        <f>+'CF &amp; WC'!R36</f>
        <v>0</v>
      </c>
      <c r="S36" s="2">
        <f>+'CF &amp; WC'!S36</f>
        <v>0</v>
      </c>
      <c r="T36" s="2">
        <f>+'CF &amp; WC'!T36</f>
        <v>0</v>
      </c>
      <c r="U36" s="2">
        <f>+'CF &amp; WC'!U36</f>
        <v>0</v>
      </c>
      <c r="V36" s="2">
        <f>+'CF &amp; WC'!V36</f>
        <v>0</v>
      </c>
      <c r="W36" s="2">
        <f>+'CF &amp; WC'!W36</f>
        <v>0</v>
      </c>
    </row>
    <row r="37" spans="2:23" x14ac:dyDescent="0.2">
      <c r="B37" s="2" t="s">
        <v>301</v>
      </c>
      <c r="D37" s="83">
        <f>+'CF &amp; WC'!D38</f>
        <v>0</v>
      </c>
      <c r="E37" s="83">
        <f>+'CF &amp; WC'!E38</f>
        <v>0.15410094149410725</v>
      </c>
      <c r="F37" s="83">
        <f ca="1">+'CF &amp; WC'!F38</f>
        <v>0.14843546273186803</v>
      </c>
      <c r="G37" s="83">
        <f ca="1">+'CF &amp; WC'!G38</f>
        <v>-0.65687538404017687</v>
      </c>
      <c r="H37" s="83">
        <f ca="1">+'CF &amp; WC'!H38</f>
        <v>0.47325282078236341</v>
      </c>
      <c r="I37" s="83">
        <f ca="1">+'CF &amp; WC'!I38</f>
        <v>0.32743230857886374</v>
      </c>
      <c r="J37" s="83">
        <f ca="1">+'CF &amp; WC'!J38</f>
        <v>-7.2567691560834646E-2</v>
      </c>
      <c r="K37" s="83">
        <f ca="1">+'CF &amp; WC'!K38</f>
        <v>-0.87256769137457013</v>
      </c>
      <c r="L37" s="83">
        <f ca="1">+'CF &amp; WC'!L38</f>
        <v>190663.52743230853</v>
      </c>
      <c r="M37" s="83">
        <f ca="1">+'CF &amp; WC'!M38</f>
        <v>508822.92743230844</v>
      </c>
      <c r="N37" s="83">
        <f ca="1">+'CF &amp; WC'!N38</f>
        <v>604921.12743230863</v>
      </c>
      <c r="O37" s="83">
        <f ca="1">+'CF &amp; WC'!O38</f>
        <v>610745.260765641</v>
      </c>
      <c r="P37" s="83">
        <f ca="1">+'CF &amp; WC'!P38</f>
        <v>639865.92743230844</v>
      </c>
      <c r="Q37" s="83">
        <f ca="1">+'CF &amp; WC'!Q38</f>
        <v>616569.39409897476</v>
      </c>
      <c r="R37" s="83">
        <f ca="1">+'CF &amp; WC'!R38</f>
        <v>574344.42743230844</v>
      </c>
      <c r="S37" s="83">
        <f ca="1">+'CF &amp; WC'!S38</f>
        <v>557642.86860877927</v>
      </c>
      <c r="T37" s="83">
        <f ca="1">+'CF &amp; WC'!T38</f>
        <v>542797.03854341898</v>
      </c>
      <c r="U37" s="83">
        <f ca="1">+'CF &amp; WC'!U38</f>
        <v>492729.92743230844</v>
      </c>
      <c r="V37" s="83">
        <f ca="1">+'CF &amp; WC'!V38</f>
        <v>500086.72743230872</v>
      </c>
      <c r="W37" s="83">
        <f ca="1">+'CF &amp; WC'!W38</f>
        <v>1014041.9375314163</v>
      </c>
    </row>
    <row r="39" spans="2:23" x14ac:dyDescent="0.2">
      <c r="B39" s="39" t="s">
        <v>222</v>
      </c>
    </row>
    <row r="40" spans="2:23" x14ac:dyDescent="0.2">
      <c r="B40" s="2" t="s">
        <v>302</v>
      </c>
      <c r="D40" s="83">
        <f>+BS!D17</f>
        <v>0</v>
      </c>
      <c r="E40" s="83">
        <f>+BS!E17</f>
        <v>9802750.1850946415</v>
      </c>
      <c r="F40" s="83">
        <f>+BS!F17</f>
        <v>11911546.654814059</v>
      </c>
      <c r="G40" s="83">
        <f>+BS!G17</f>
        <v>13193534.735867182</v>
      </c>
      <c r="H40" s="83">
        <f>+BS!H17</f>
        <v>13897406.650436457</v>
      </c>
      <c r="I40" s="83">
        <f>+BS!I17</f>
        <v>13064596.389174964</v>
      </c>
      <c r="J40" s="83">
        <f>+BS!J17</f>
        <v>12231786.127913471</v>
      </c>
      <c r="K40" s="83">
        <f>+BS!K17</f>
        <v>11398975.866651978</v>
      </c>
      <c r="L40" s="83">
        <f>+BS!L17</f>
        <v>10566165.605390485</v>
      </c>
      <c r="M40" s="83">
        <f>+BS!M17</f>
        <v>9733355.3441289924</v>
      </c>
      <c r="N40" s="83">
        <f>+BS!N17</f>
        <v>8900545.0828674994</v>
      </c>
      <c r="O40" s="83">
        <f>+BS!O17</f>
        <v>8067734.8216060074</v>
      </c>
      <c r="P40" s="83">
        <f>+BS!P17</f>
        <v>7234924.5603445154</v>
      </c>
      <c r="Q40" s="83">
        <f>+BS!Q17</f>
        <v>6402114.2990830233</v>
      </c>
      <c r="R40" s="83">
        <f>+BS!R17</f>
        <v>5569304.0378215313</v>
      </c>
      <c r="S40" s="83">
        <f>+BS!S17</f>
        <v>4736493.7765600393</v>
      </c>
      <c r="T40" s="83">
        <f>+BS!T17</f>
        <v>3903683.5152985472</v>
      </c>
      <c r="U40" s="83">
        <f>+BS!U17</f>
        <v>3070873.2540370552</v>
      </c>
      <c r="V40" s="83">
        <f>+BS!V17</f>
        <v>2238062.9927755632</v>
      </c>
      <c r="W40" s="83">
        <f>+BS!W17</f>
        <v>1405252.7315140711</v>
      </c>
    </row>
    <row r="41" spans="2:23" x14ac:dyDescent="0.2">
      <c r="B41" s="2" t="s">
        <v>303</v>
      </c>
      <c r="D41" s="83">
        <f>+BS!D24</f>
        <v>0</v>
      </c>
      <c r="E41" s="83">
        <f>+BS!E24</f>
        <v>0.15410094149410725</v>
      </c>
      <c r="F41" s="83">
        <f ca="1">+BS!F24</f>
        <v>0.30253640422597528</v>
      </c>
      <c r="G41" s="83">
        <f ca="1">+BS!G24</f>
        <v>-0.35433897981420159</v>
      </c>
      <c r="H41" s="83">
        <f ca="1">+BS!H24</f>
        <v>0.11891384096816182</v>
      </c>
      <c r="I41" s="83">
        <f ca="1">+BS!I24</f>
        <v>0.44634614954702556</v>
      </c>
      <c r="J41" s="83">
        <f ca="1">+BS!J24</f>
        <v>0.37377845798619092</v>
      </c>
      <c r="K41" s="83">
        <f ca="1">+BS!K24</f>
        <v>-0.49878923338837922</v>
      </c>
      <c r="L41" s="83">
        <f ca="1">+BS!L24</f>
        <v>190663.02864307514</v>
      </c>
      <c r="M41" s="83">
        <f ca="1">+BS!M24</f>
        <v>699485.95607538358</v>
      </c>
      <c r="N41" s="83">
        <f ca="1">+BS!N24</f>
        <v>1304407.0835076922</v>
      </c>
      <c r="O41" s="83">
        <f ca="1">+BS!O24</f>
        <v>1915152.3442733332</v>
      </c>
      <c r="P41" s="83">
        <f ca="1">+BS!P24</f>
        <v>2555018.2717056414</v>
      </c>
      <c r="Q41" s="83">
        <f ca="1">+BS!Q24</f>
        <v>3171587.6658046162</v>
      </c>
      <c r="R41" s="83">
        <f ca="1">+BS!R24</f>
        <v>3745932.0932369246</v>
      </c>
      <c r="S41" s="83">
        <f ca="1">+BS!S24</f>
        <v>4303574.9618457034</v>
      </c>
      <c r="T41" s="83">
        <f ca="1">+BS!T24</f>
        <v>4846372.0003891224</v>
      </c>
      <c r="U41" s="83">
        <f ca="1">+BS!U24</f>
        <v>5339101.9278214313</v>
      </c>
      <c r="V41" s="83">
        <f ca="1">+BS!V24</f>
        <v>5839188.65525374</v>
      </c>
      <c r="W41" s="83">
        <f ca="1">+BS!W24</f>
        <v>6853230.5927851563</v>
      </c>
    </row>
    <row r="42" spans="2:23" x14ac:dyDescent="0.2">
      <c r="B42" s="2" t="s">
        <v>304</v>
      </c>
      <c r="D42" s="83">
        <f>+BS!D21+BS!D22+BS!D23</f>
        <v>0</v>
      </c>
      <c r="E42" s="83">
        <f>+BS!E21+BS!E22+BS!E23</f>
        <v>0</v>
      </c>
      <c r="F42" s="83">
        <f ca="1">+BS!F21+BS!F22+BS!F23</f>
        <v>0</v>
      </c>
      <c r="G42" s="83">
        <f ca="1">+BS!G21+BS!G22+BS!G23</f>
        <v>0</v>
      </c>
      <c r="H42" s="83">
        <f ca="1">+BS!H21+BS!H22+BS!H23</f>
        <v>0</v>
      </c>
      <c r="I42" s="83">
        <f ca="1">+BS!I21+BS!I22+BS!I23</f>
        <v>0</v>
      </c>
      <c r="J42" s="83">
        <f ca="1">+BS!J21+BS!J22+BS!J23</f>
        <v>0</v>
      </c>
      <c r="K42" s="83">
        <f ca="1">+BS!K21+BS!K22+BS!K23</f>
        <v>0</v>
      </c>
      <c r="L42" s="83">
        <f ca="1">+BS!L21+BS!L22+BS!L23</f>
        <v>0</v>
      </c>
      <c r="M42" s="83">
        <f ca="1">+BS!M21+BS!M22+BS!M23</f>
        <v>0</v>
      </c>
      <c r="N42" s="83">
        <f ca="1">+BS!N21+BS!N22+BS!N23</f>
        <v>0</v>
      </c>
      <c r="O42" s="83">
        <f ca="1">+BS!O21+BS!O22+BS!O23</f>
        <v>0</v>
      </c>
      <c r="P42" s="83">
        <f ca="1">+BS!P21+BS!P22+BS!P23</f>
        <v>0</v>
      </c>
      <c r="Q42" s="83">
        <f ca="1">+BS!Q21+BS!Q22+BS!Q23</f>
        <v>0</v>
      </c>
      <c r="R42" s="83">
        <f ca="1">+BS!R21+BS!R22+BS!R23</f>
        <v>0</v>
      </c>
      <c r="S42" s="83">
        <f ca="1">+BS!S21+BS!S22+BS!S23</f>
        <v>0</v>
      </c>
      <c r="T42" s="83">
        <f ca="1">+BS!T21+BS!T22+BS!T23</f>
        <v>0</v>
      </c>
      <c r="U42" s="83">
        <f ca="1">+BS!U21+BS!U22+BS!U23</f>
        <v>0</v>
      </c>
      <c r="V42" s="83">
        <f ca="1">+BS!V21+BS!V22+BS!V23</f>
        <v>0</v>
      </c>
      <c r="W42" s="83">
        <f ca="1">+BS!W21+BS!W22+BS!W23</f>
        <v>0</v>
      </c>
    </row>
    <row r="43" spans="2:23" x14ac:dyDescent="0.2">
      <c r="B43" s="2" t="s">
        <v>209</v>
      </c>
      <c r="D43" s="83">
        <f>+BS!D33</f>
        <v>0</v>
      </c>
      <c r="E43" s="83">
        <f ca="1">+BS!E33</f>
        <v>0</v>
      </c>
      <c r="F43" s="83">
        <f ca="1">+BS!F33</f>
        <v>0</v>
      </c>
      <c r="G43" s="83">
        <f ca="1">+BS!G33</f>
        <v>0</v>
      </c>
      <c r="H43" s="83">
        <f ca="1">+BS!H33</f>
        <v>0</v>
      </c>
      <c r="I43" s="83">
        <f ca="1">+BS!I33</f>
        <v>0</v>
      </c>
      <c r="J43" s="83">
        <f ca="1">+BS!J33</f>
        <v>0</v>
      </c>
      <c r="K43" s="83">
        <f ca="1">+BS!K33</f>
        <v>0</v>
      </c>
      <c r="L43" s="83">
        <f ca="1">+BS!L33</f>
        <v>0</v>
      </c>
      <c r="M43" s="83">
        <f ca="1">+BS!M33</f>
        <v>0</v>
      </c>
      <c r="N43" s="83">
        <f ca="1">+BS!N33</f>
        <v>0</v>
      </c>
      <c r="O43" s="83">
        <f ca="1">+BS!O33</f>
        <v>0</v>
      </c>
      <c r="P43" s="83">
        <f ca="1">+BS!P33</f>
        <v>0</v>
      </c>
      <c r="Q43" s="83">
        <f ca="1">+BS!Q33</f>
        <v>0</v>
      </c>
      <c r="R43" s="83">
        <f ca="1">+BS!R33</f>
        <v>0</v>
      </c>
      <c r="S43" s="83">
        <f ca="1">+BS!S33</f>
        <v>0</v>
      </c>
      <c r="T43" s="83">
        <f ca="1">+BS!T33</f>
        <v>0</v>
      </c>
      <c r="U43" s="83">
        <f ca="1">+BS!U33</f>
        <v>0</v>
      </c>
      <c r="V43" s="83">
        <f ca="1">+BS!V33</f>
        <v>0</v>
      </c>
      <c r="W43" s="83">
        <f ca="1">+BS!W33</f>
        <v>0</v>
      </c>
    </row>
    <row r="44" spans="2:23" x14ac:dyDescent="0.2">
      <c r="B44" s="2" t="s">
        <v>136</v>
      </c>
      <c r="D44" s="83">
        <f>+D42-D43</f>
        <v>0</v>
      </c>
      <c r="E44" s="83">
        <f t="shared" ref="E44:W44" ca="1" si="1">+E42-E43</f>
        <v>0</v>
      </c>
      <c r="F44" s="83">
        <f t="shared" ca="1" si="1"/>
        <v>0</v>
      </c>
      <c r="G44" s="83">
        <f t="shared" ca="1" si="1"/>
        <v>0</v>
      </c>
      <c r="H44" s="83">
        <f t="shared" ca="1" si="1"/>
        <v>0</v>
      </c>
      <c r="I44" s="83">
        <f t="shared" ca="1" si="1"/>
        <v>0</v>
      </c>
      <c r="J44" s="83">
        <f t="shared" ca="1" si="1"/>
        <v>0</v>
      </c>
      <c r="K44" s="83">
        <f t="shared" ca="1" si="1"/>
        <v>0</v>
      </c>
      <c r="L44" s="83">
        <f t="shared" ca="1" si="1"/>
        <v>0</v>
      </c>
      <c r="M44" s="83">
        <f t="shared" ca="1" si="1"/>
        <v>0</v>
      </c>
      <c r="N44" s="83">
        <f t="shared" ca="1" si="1"/>
        <v>0</v>
      </c>
      <c r="O44" s="83">
        <f t="shared" ca="1" si="1"/>
        <v>0</v>
      </c>
      <c r="P44" s="83">
        <f t="shared" ca="1" si="1"/>
        <v>0</v>
      </c>
      <c r="Q44" s="83">
        <f t="shared" ca="1" si="1"/>
        <v>0</v>
      </c>
      <c r="R44" s="83">
        <f t="shared" ca="1" si="1"/>
        <v>0</v>
      </c>
      <c r="S44" s="83">
        <f t="shared" ca="1" si="1"/>
        <v>0</v>
      </c>
      <c r="T44" s="83">
        <f t="shared" ca="1" si="1"/>
        <v>0</v>
      </c>
      <c r="U44" s="83">
        <f t="shared" ca="1" si="1"/>
        <v>0</v>
      </c>
      <c r="V44" s="83">
        <f t="shared" ca="1" si="1"/>
        <v>0</v>
      </c>
      <c r="W44" s="83">
        <f t="shared" ca="1" si="1"/>
        <v>0</v>
      </c>
    </row>
    <row r="45" spans="2:23" x14ac:dyDescent="0.2">
      <c r="B45" s="2" t="s">
        <v>215</v>
      </c>
      <c r="D45" s="83">
        <f>+BS!D39</f>
        <v>0</v>
      </c>
      <c r="E45" s="83">
        <f ca="1">+BS!E39</f>
        <v>9802750.339195583</v>
      </c>
      <c r="F45" s="83">
        <f ca="1">+BS!F39</f>
        <v>11911546.957350463</v>
      </c>
      <c r="G45" s="83">
        <f ca="1">+BS!G39</f>
        <v>13193534.381528202</v>
      </c>
      <c r="H45" s="83">
        <f ca="1">+BS!H39</f>
        <v>13897406.769350298</v>
      </c>
      <c r="I45" s="83">
        <f ca="1">+BS!I39</f>
        <v>13064596.835521113</v>
      </c>
      <c r="J45" s="83">
        <f ca="1">+BS!J39</f>
        <v>12231786.50169193</v>
      </c>
      <c r="K45" s="83">
        <f ca="1">+BS!K39</f>
        <v>11398975.367862744</v>
      </c>
      <c r="L45" s="83">
        <f ca="1">+BS!L39</f>
        <v>10756828.634033561</v>
      </c>
      <c r="M45" s="83">
        <f ca="1">+BS!M39</f>
        <v>10432841.300204376</v>
      </c>
      <c r="N45" s="83">
        <f ca="1">+BS!N39</f>
        <v>10204952.166375192</v>
      </c>
      <c r="O45" s="83">
        <f ca="1">+BS!O39</f>
        <v>9982887.1658793408</v>
      </c>
      <c r="P45" s="83">
        <f ca="1">+BS!P39</f>
        <v>9789942.8320501558</v>
      </c>
      <c r="Q45" s="83">
        <f ca="1">+BS!Q39</f>
        <v>9573701.9648876395</v>
      </c>
      <c r="R45" s="83">
        <f ca="1">+BS!R39</f>
        <v>9315236.1310584564</v>
      </c>
      <c r="S45" s="83">
        <f ca="1">+BS!S39</f>
        <v>9040068.7384057418</v>
      </c>
      <c r="T45" s="83">
        <f ca="1">+BS!T39</f>
        <v>8750055.5156876706</v>
      </c>
      <c r="U45" s="83">
        <f ca="1">+BS!U39</f>
        <v>8409975.1818584874</v>
      </c>
      <c r="V45" s="83">
        <f ca="1">+BS!V39</f>
        <v>8077251.6480293032</v>
      </c>
      <c r="W45" s="83">
        <f ca="1">+BS!W39</f>
        <v>8258483.3242992274</v>
      </c>
    </row>
    <row r="47" spans="2:23" x14ac:dyDescent="0.2">
      <c r="B47" s="2" t="s">
        <v>306</v>
      </c>
    </row>
    <row r="48" spans="2:23" x14ac:dyDescent="0.2">
      <c r="B48" s="2" t="s">
        <v>217</v>
      </c>
      <c r="D48" s="83">
        <f>+BS!D43</f>
        <v>0</v>
      </c>
      <c r="E48" s="83">
        <f>+BS!E43</f>
        <v>0</v>
      </c>
      <c r="F48" s="83">
        <f>+BS!F43</f>
        <v>0</v>
      </c>
      <c r="G48" s="83">
        <f>+BS!G43</f>
        <v>0</v>
      </c>
      <c r="H48" s="83">
        <f>+BS!H43</f>
        <v>0</v>
      </c>
      <c r="I48" s="83">
        <f>+BS!I43</f>
        <v>0</v>
      </c>
      <c r="J48" s="83">
        <f>+BS!J43</f>
        <v>0</v>
      </c>
      <c r="K48" s="83">
        <f>+BS!K43</f>
        <v>0</v>
      </c>
      <c r="L48" s="83">
        <f>+BS!L43</f>
        <v>0</v>
      </c>
      <c r="M48" s="83">
        <f>+BS!M43</f>
        <v>0</v>
      </c>
      <c r="N48" s="83">
        <f>+BS!N43</f>
        <v>0</v>
      </c>
      <c r="O48" s="83">
        <f>+BS!O43</f>
        <v>0</v>
      </c>
      <c r="P48" s="83">
        <f>+BS!P43</f>
        <v>0</v>
      </c>
      <c r="Q48" s="83">
        <f>+BS!Q43</f>
        <v>0</v>
      </c>
      <c r="R48" s="83">
        <f>+BS!R43</f>
        <v>0</v>
      </c>
      <c r="S48" s="83">
        <f>+BS!S43</f>
        <v>0</v>
      </c>
      <c r="T48" s="83">
        <f>+BS!T43</f>
        <v>0</v>
      </c>
      <c r="U48" s="83">
        <f>+BS!U43</f>
        <v>0</v>
      </c>
      <c r="V48" s="83">
        <f>+BS!V43</f>
        <v>0</v>
      </c>
      <c r="W48" s="83">
        <f>+BS!W43</f>
        <v>0</v>
      </c>
    </row>
    <row r="49" spans="2:23" x14ac:dyDescent="0.2">
      <c r="B49" s="2" t="s">
        <v>305</v>
      </c>
      <c r="D49" s="83">
        <f ca="1">+BS!D44</f>
        <v>0</v>
      </c>
      <c r="E49" s="83">
        <f ca="1">+BS!E44</f>
        <v>11350553</v>
      </c>
      <c r="F49" s="83">
        <f ca="1">+BS!F44</f>
        <v>14730231.59</v>
      </c>
      <c r="G49" s="83">
        <f ca="1">+BS!G44</f>
        <v>17413898.537700001</v>
      </c>
      <c r="H49" s="83">
        <f ca="1">+BS!H44</f>
        <v>18840940.493831001</v>
      </c>
      <c r="I49" s="83">
        <f ca="1">+BS!I44</f>
        <v>19761320.708645932</v>
      </c>
      <c r="J49" s="83">
        <f ca="1">+BS!J44</f>
        <v>19705334.329905309</v>
      </c>
      <c r="K49" s="83">
        <f ca="1">+BS!K44</f>
        <v>18867096.35980247</v>
      </c>
      <c r="L49" s="83">
        <f ca="1">+BS!L44</f>
        <v>17686869.250596542</v>
      </c>
      <c r="M49" s="83">
        <f ca="1">+BS!M44</f>
        <v>16265795.328114439</v>
      </c>
      <c r="N49" s="83">
        <f ca="1">+BS!N44</f>
        <v>14802089.187957872</v>
      </c>
      <c r="O49" s="83">
        <f ca="1">+BS!O44</f>
        <v>13294471.863596607</v>
      </c>
      <c r="P49" s="83">
        <f ca="1">+BS!P44</f>
        <v>11741626.019504506</v>
      </c>
      <c r="Q49" s="83">
        <f ca="1">+BS!Q44</f>
        <v>10142194.800089641</v>
      </c>
      <c r="R49" s="83">
        <f ca="1">+BS!R44</f>
        <v>8494780.6440923288</v>
      </c>
      <c r="S49" s="83">
        <f ca="1">+BS!S44</f>
        <v>6797944.0634150989</v>
      </c>
      <c r="T49" s="83">
        <f ca="1">+BS!T44</f>
        <v>5050202.3853175519</v>
      </c>
      <c r="U49" s="83">
        <f ca="1">+BS!U44</f>
        <v>3250028.4568770784</v>
      </c>
      <c r="V49" s="83">
        <f ca="1">+BS!V44</f>
        <v>1395849.3105833908</v>
      </c>
      <c r="W49" s="83">
        <f ca="1">+BS!W44</f>
        <v>6.5483618527650833E-11</v>
      </c>
    </row>
    <row r="50" spans="2:23" x14ac:dyDescent="0.2">
      <c r="B50" s="38" t="s">
        <v>307</v>
      </c>
      <c r="D50" s="83">
        <f ca="1">+BS!D45</f>
        <v>0</v>
      </c>
      <c r="E50" s="83">
        <f ca="1">+BS!E45</f>
        <v>-1547802.6608044172</v>
      </c>
      <c r="F50" s="83">
        <f ca="1">+BS!F45</f>
        <v>-2818684.6326495386</v>
      </c>
      <c r="G50" s="83">
        <f ca="1">+BS!G45</f>
        <v>-4220364.1561717996</v>
      </c>
      <c r="H50" s="83">
        <f ca="1">+BS!H45</f>
        <v>-4943533.7244807016</v>
      </c>
      <c r="I50" s="83">
        <f ca="1">+BS!I45</f>
        <v>-6696723.8731248155</v>
      </c>
      <c r="J50" s="83">
        <f ca="1">+BS!J45</f>
        <v>-7473547.8282133769</v>
      </c>
      <c r="K50" s="83">
        <f ca="1">+BS!K45</f>
        <v>-7468120.9919397198</v>
      </c>
      <c r="L50" s="83">
        <f ca="1">+BS!L45</f>
        <v>-6930040.6165629774</v>
      </c>
      <c r="M50" s="83">
        <f ca="1">+BS!M45</f>
        <v>-5832954.0279100575</v>
      </c>
      <c r="N50" s="83">
        <f ca="1">+BS!N45</f>
        <v>-4597137.0215826742</v>
      </c>
      <c r="O50" s="83">
        <f ca="1">+BS!O45</f>
        <v>-3311584.697717261</v>
      </c>
      <c r="P50" s="83">
        <f ca="1">+BS!P45</f>
        <v>-1951683.1874543428</v>
      </c>
      <c r="Q50" s="83">
        <f ca="1">+BS!Q45</f>
        <v>-568492.83520199521</v>
      </c>
      <c r="R50" s="83">
        <f ca="1">+BS!R45</f>
        <v>820455.48696613195</v>
      </c>
      <c r="S50" s="83">
        <f ca="1">+BS!S45</f>
        <v>2242124.6749906493</v>
      </c>
      <c r="T50" s="83">
        <f ca="1">+BS!T45</f>
        <v>3699853.1303701233</v>
      </c>
      <c r="U50" s="83">
        <f ca="1">+BS!U45</f>
        <v>5159946.7249814132</v>
      </c>
      <c r="V50" s="83">
        <f ca="1">+BS!V45</f>
        <v>6681402.3374459175</v>
      </c>
      <c r="W50" s="83">
        <f ca="1">+BS!W45</f>
        <v>8258483.3242992321</v>
      </c>
    </row>
    <row r="51" spans="2:23" x14ac:dyDescent="0.2">
      <c r="B51" s="38" t="s">
        <v>219</v>
      </c>
      <c r="D51" s="83">
        <f ca="1">+BS!D47</f>
        <v>0</v>
      </c>
      <c r="E51" s="83">
        <f ca="1">+BS!E47</f>
        <v>9802750.339195583</v>
      </c>
      <c r="F51" s="83">
        <f ca="1">+BS!F47</f>
        <v>11911546.957350461</v>
      </c>
      <c r="G51" s="83">
        <f ca="1">+BS!G47</f>
        <v>13193534.381528202</v>
      </c>
      <c r="H51" s="83">
        <f ca="1">+BS!H47</f>
        <v>13897406.7693503</v>
      </c>
      <c r="I51" s="83">
        <f ca="1">+BS!I47</f>
        <v>13064596.835521117</v>
      </c>
      <c r="J51" s="83">
        <f ca="1">+BS!J47</f>
        <v>12231786.501691932</v>
      </c>
      <c r="K51" s="83">
        <f ca="1">+BS!K47</f>
        <v>11398975.36786275</v>
      </c>
      <c r="L51" s="83">
        <f ca="1">+BS!L47</f>
        <v>10756828.634033564</v>
      </c>
      <c r="M51" s="83">
        <f ca="1">+BS!M47</f>
        <v>10432841.300204381</v>
      </c>
      <c r="N51" s="83">
        <f ca="1">+BS!N47</f>
        <v>10204952.166375197</v>
      </c>
      <c r="O51" s="83">
        <f ca="1">+BS!O47</f>
        <v>9982887.1658793464</v>
      </c>
      <c r="P51" s="83">
        <f ca="1">+BS!P47</f>
        <v>9789942.8320501633</v>
      </c>
      <c r="Q51" s="83">
        <f ca="1">+BS!Q47</f>
        <v>9573701.9648876451</v>
      </c>
      <c r="R51" s="83">
        <f ca="1">+BS!R47</f>
        <v>9315236.1310584601</v>
      </c>
      <c r="S51" s="83">
        <f ca="1">+BS!S47</f>
        <v>9040068.7384057492</v>
      </c>
      <c r="T51" s="83">
        <f ca="1">+BS!T47</f>
        <v>8750055.5156876743</v>
      </c>
      <c r="U51" s="83">
        <f ca="1">+BS!U47</f>
        <v>8409975.1818584912</v>
      </c>
      <c r="V51" s="83">
        <f ca="1">+BS!V47</f>
        <v>8077251.6480293088</v>
      </c>
      <c r="W51" s="83">
        <f ca="1">+BS!W47</f>
        <v>8258483.3242992321</v>
      </c>
    </row>
    <row r="54" spans="2:23" x14ac:dyDescent="0.2">
      <c r="D54" s="1">
        <v>2016</v>
      </c>
      <c r="E54" s="1">
        <f>+D54+1</f>
        <v>2017</v>
      </c>
      <c r="F54" s="1">
        <f>+E54+1</f>
        <v>2018</v>
      </c>
      <c r="G54" s="1">
        <f>+F54+1</f>
        <v>2019</v>
      </c>
      <c r="H54" s="1">
        <f>+G54+1</f>
        <v>2020</v>
      </c>
      <c r="I54" s="1">
        <f t="shared" ref="I54:M54" si="2">+H54+1</f>
        <v>2021</v>
      </c>
      <c r="J54" s="1">
        <f t="shared" si="2"/>
        <v>2022</v>
      </c>
      <c r="K54" s="1">
        <f t="shared" si="2"/>
        <v>2023</v>
      </c>
      <c r="L54" s="1">
        <f t="shared" si="2"/>
        <v>2024</v>
      </c>
      <c r="M54" s="1">
        <f t="shared" si="2"/>
        <v>2025</v>
      </c>
      <c r="N54" s="1">
        <f t="shared" ref="N54" si="3">+M54+1</f>
        <v>2026</v>
      </c>
      <c r="O54" s="1">
        <f t="shared" ref="O54" si="4">+N54+1</f>
        <v>2027</v>
      </c>
      <c r="P54" s="1">
        <f t="shared" ref="P54" si="5">+O54+1</f>
        <v>2028</v>
      </c>
      <c r="Q54" s="1">
        <f t="shared" ref="Q54" si="6">+P54+1</f>
        <v>2029</v>
      </c>
      <c r="R54" s="1">
        <f t="shared" ref="R54" si="7">+Q54+1</f>
        <v>2030</v>
      </c>
      <c r="S54" s="1">
        <f t="shared" ref="S54" si="8">+R54+1</f>
        <v>2031</v>
      </c>
      <c r="T54" s="1">
        <f t="shared" ref="T54" si="9">+S54+1</f>
        <v>2032</v>
      </c>
      <c r="U54" s="1">
        <f t="shared" ref="U54" si="10">+T54+1</f>
        <v>2033</v>
      </c>
      <c r="V54" s="1">
        <f t="shared" ref="V54" si="11">+U54+1</f>
        <v>2034</v>
      </c>
      <c r="W54" s="1">
        <f t="shared" ref="W54" si="12">+V54+1</f>
        <v>2035</v>
      </c>
    </row>
    <row r="55" spans="2:23" x14ac:dyDescent="0.2">
      <c r="B55" s="1" t="s">
        <v>308</v>
      </c>
      <c r="N55" s="129"/>
      <c r="O55" s="129"/>
      <c r="P55" s="129"/>
      <c r="Q55" s="129"/>
      <c r="R55" s="129"/>
      <c r="S55" s="129"/>
      <c r="T55" s="129"/>
      <c r="U55" s="129"/>
      <c r="V55" s="129"/>
      <c r="W55" s="129"/>
    </row>
    <row r="56" spans="2:23" x14ac:dyDescent="0.2">
      <c r="B56" s="2" t="s">
        <v>309</v>
      </c>
      <c r="D56" s="83">
        <f>SUM('Total Revenue &amp; Costs'!D17:D17)*Finance!D25</f>
        <v>0</v>
      </c>
      <c r="E56" s="123">
        <f ca="1">SUM('Total Revenue &amp; Costs'!E17:E17)*Finance!E25</f>
        <v>10318684.405362781</v>
      </c>
      <c r="F56" s="123">
        <f ca="1">SUM('Total Revenue &amp; Costs'!F17:F17)*Finance!F25</f>
        <v>2762874.4105132157</v>
      </c>
      <c r="G56" s="123">
        <f ca="1">SUM('Total Revenue &amp; Costs'!G17:G17)*Finance!G25</f>
        <v>2037964.2335230764</v>
      </c>
      <c r="H56" s="123">
        <f ca="1">SUM('Total Revenue &amp; Costs'!H17:H17)*Finance!H25</f>
        <v>1536682.1758307689</v>
      </c>
      <c r="I56" s="123">
        <f ca="1">SUM('Total Revenue &amp; Costs'!I17:I17)*Finance!I25</f>
        <v>0</v>
      </c>
      <c r="J56" s="123">
        <f ca="1">SUM('Total Revenue &amp; Costs'!J17:J17)*Finance!J25</f>
        <v>0</v>
      </c>
      <c r="K56" s="123">
        <f ca="1">SUM('Total Revenue &amp; Costs'!K17:K17)*Finance!K25</f>
        <v>0</v>
      </c>
      <c r="L56" s="123">
        <f ca="1">SUM('Total Revenue &amp; Costs'!L17:L17)*Finance!L25</f>
        <v>0</v>
      </c>
      <c r="M56" s="123">
        <f ca="1">SUM('Total Revenue &amp; Costs'!M17:M17)*Finance!M25</f>
        <v>0</v>
      </c>
      <c r="N56" s="123">
        <f ca="1">SUM('Total Revenue &amp; Costs'!N17:N17)*Finance!N25</f>
        <v>0</v>
      </c>
      <c r="O56" s="123">
        <f ca="1">SUM('Total Revenue &amp; Costs'!O17:O17)*Finance!O25</f>
        <v>0</v>
      </c>
      <c r="P56" s="123">
        <f ca="1">SUM('Total Revenue &amp; Costs'!P17:P17)*Finance!P25</f>
        <v>0</v>
      </c>
      <c r="Q56" s="123">
        <f ca="1">SUM('Total Revenue &amp; Costs'!Q17:Q17)*Finance!Q25</f>
        <v>0</v>
      </c>
      <c r="R56" s="123">
        <f ca="1">SUM('Total Revenue &amp; Costs'!R17:R17)*Finance!R25</f>
        <v>0</v>
      </c>
      <c r="S56" s="123">
        <f ca="1">SUM('Total Revenue &amp; Costs'!S17:S17)*Finance!S25</f>
        <v>0</v>
      </c>
      <c r="T56" s="123">
        <f ca="1">SUM('Total Revenue &amp; Costs'!T17:T17)*Finance!T25</f>
        <v>0</v>
      </c>
      <c r="U56" s="123">
        <f ca="1">SUM('Total Revenue &amp; Costs'!U17:U17)*Finance!U25</f>
        <v>0</v>
      </c>
      <c r="V56" s="123">
        <f ca="1">SUM('Total Revenue &amp; Costs'!V17:V17)*Finance!V25</f>
        <v>0</v>
      </c>
      <c r="W56" s="123">
        <f ca="1">SUM('Total Revenue &amp; Costs'!W17:W17)*Finance!W25</f>
        <v>0</v>
      </c>
    </row>
    <row r="57" spans="2:23" x14ac:dyDescent="0.2">
      <c r="B57" s="2" t="s">
        <v>384</v>
      </c>
      <c r="D57" s="123">
        <f>+('CF &amp; WC'!D31)*Finance!D25</f>
        <v>0</v>
      </c>
      <c r="E57" s="123">
        <f ca="1">+('CF &amp; WC'!E31)*Finance!E25</f>
        <v>0</v>
      </c>
      <c r="F57" s="123">
        <f ca="1">+('CF &amp; WC'!F31)*Finance!F25</f>
        <v>0</v>
      </c>
      <c r="G57" s="123">
        <f ca="1">+('CF &amp; WC'!G31)*Finance!G25</f>
        <v>0</v>
      </c>
      <c r="H57" s="123">
        <f ca="1">+('CF &amp; WC'!H31)*Finance!H25</f>
        <v>410880</v>
      </c>
      <c r="I57" s="123">
        <f ca="1">+('CF &amp; WC'!I31)*Finance!I25</f>
        <v>821760</v>
      </c>
      <c r="J57" s="123">
        <f ca="1">+('CF &amp; WC'!J31)*Finance!J25</f>
        <v>1232640</v>
      </c>
      <c r="K57" s="123">
        <f ca="1">+('CF &amp; WC'!K31)*Finance!K25</f>
        <v>1540800</v>
      </c>
      <c r="L57" s="123">
        <f ca="1">+('CF &amp; WC'!L31)*Finance!L25</f>
        <v>0</v>
      </c>
      <c r="M57" s="123">
        <f ca="1">+('CF &amp; WC'!M31)*Finance!M25</f>
        <v>0</v>
      </c>
      <c r="N57" s="123">
        <f ca="1">+('CF &amp; WC'!N31)*Finance!N25</f>
        <v>0</v>
      </c>
      <c r="O57" s="123">
        <f ca="1">+('CF &amp; WC'!O31)*Finance!O25</f>
        <v>0</v>
      </c>
      <c r="P57" s="123">
        <f ca="1">+('CF &amp; WC'!P31)*Finance!P25</f>
        <v>0</v>
      </c>
      <c r="Q57" s="123">
        <f ca="1">+('CF &amp; WC'!Q31)*Finance!Q25</f>
        <v>0</v>
      </c>
      <c r="R57" s="123">
        <f ca="1">+('CF &amp; WC'!R31)*Finance!R25</f>
        <v>0</v>
      </c>
      <c r="S57" s="123">
        <f ca="1">+('CF &amp; WC'!S31)*Finance!S25</f>
        <v>0</v>
      </c>
      <c r="T57" s="123">
        <f ca="1">+('CF &amp; WC'!T31)*Finance!T25</f>
        <v>0</v>
      </c>
      <c r="U57" s="123">
        <f ca="1">+('CF &amp; WC'!U31)*Finance!U25</f>
        <v>0</v>
      </c>
      <c r="V57" s="123">
        <f ca="1">+('CF &amp; WC'!V31)*Finance!V25</f>
        <v>0</v>
      </c>
      <c r="W57" s="123">
        <f ca="1">+('CF &amp; WC'!W31)*Finance!W25</f>
        <v>0</v>
      </c>
    </row>
    <row r="58" spans="2:23" x14ac:dyDescent="0.2">
      <c r="B58" s="2" t="s">
        <v>310</v>
      </c>
      <c r="D58" s="83">
        <f>'CF &amp; WC'!D38*Finance!D25</f>
        <v>0</v>
      </c>
      <c r="E58" s="123">
        <f ca="1">'CF &amp; WC'!E38*Finance!E25</f>
        <v>0.15410094149410725</v>
      </c>
      <c r="F58" s="123">
        <f ca="1">'CF &amp; WC'!F38*Finance!F25</f>
        <v>0.14843546273186803</v>
      </c>
      <c r="G58" s="123">
        <f ca="1">'CF &amp; WC'!G38*Finance!G25</f>
        <v>-0.65687538404017687</v>
      </c>
      <c r="H58" s="123">
        <f ca="1">'CF &amp; WC'!H38*Finance!H25</f>
        <v>0.47325282078236341</v>
      </c>
      <c r="I58" s="123">
        <f ca="1">'CF &amp; WC'!I38*Finance!I25</f>
        <v>0.32743230857886374</v>
      </c>
      <c r="J58" s="123">
        <f ca="1">'CF &amp; WC'!J38*Finance!J25</f>
        <v>-7.2567691560834646E-2</v>
      </c>
      <c r="K58" s="123">
        <f ca="1">'CF &amp; WC'!K38*Finance!K25</f>
        <v>-0.87256769137457013</v>
      </c>
      <c r="L58" s="123">
        <f ca="1">'CF &amp; WC'!L38*Finance!L25</f>
        <v>0</v>
      </c>
      <c r="M58" s="123">
        <f ca="1">'CF &amp; WC'!M38*Finance!M25</f>
        <v>0</v>
      </c>
      <c r="N58" s="123">
        <f ca="1">'CF &amp; WC'!N38*Finance!N25</f>
        <v>0</v>
      </c>
      <c r="O58" s="123">
        <f ca="1">'CF &amp; WC'!O38*Finance!O25</f>
        <v>0</v>
      </c>
      <c r="P58" s="123">
        <f ca="1">'CF &amp; WC'!P38*Finance!P25</f>
        <v>0</v>
      </c>
      <c r="Q58" s="123">
        <f ca="1">'CF &amp; WC'!Q38*Finance!Q25</f>
        <v>0</v>
      </c>
      <c r="R58" s="123">
        <f ca="1">'CF &amp; WC'!R38*Finance!R25</f>
        <v>0</v>
      </c>
      <c r="S58" s="123">
        <f ca="1">'CF &amp; WC'!S38*Finance!S25</f>
        <v>0</v>
      </c>
      <c r="T58" s="123">
        <f ca="1">'CF &amp; WC'!T38*Finance!T25</f>
        <v>0</v>
      </c>
      <c r="U58" s="123">
        <f ca="1">'CF &amp; WC'!U38*Finance!U25</f>
        <v>0</v>
      </c>
      <c r="V58" s="123">
        <f ca="1">'CF &amp; WC'!V38*Finance!V25</f>
        <v>0</v>
      </c>
      <c r="W58" s="123">
        <f ca="1">'CF &amp; WC'!W38*Finance!W25</f>
        <v>0</v>
      </c>
    </row>
    <row r="59" spans="2:23" x14ac:dyDescent="0.2">
      <c r="B59" s="1" t="s">
        <v>311</v>
      </c>
      <c r="D59" s="83">
        <f t="shared" ref="D59:W59" si="13">SUM(D56:D58)</f>
        <v>0</v>
      </c>
      <c r="E59" s="83">
        <f t="shared" ca="1" si="13"/>
        <v>10318684.559463723</v>
      </c>
      <c r="F59" s="83">
        <f t="shared" ca="1" si="13"/>
        <v>2762874.5589486784</v>
      </c>
      <c r="G59" s="83">
        <f t="shared" ca="1" si="13"/>
        <v>2037963.5766476924</v>
      </c>
      <c r="H59" s="83">
        <f t="shared" ca="1" si="13"/>
        <v>1947562.6490835897</v>
      </c>
      <c r="I59" s="83">
        <f t="shared" ca="1" si="13"/>
        <v>821760.32743230858</v>
      </c>
      <c r="J59" s="83">
        <f t="shared" ca="1" si="13"/>
        <v>1232639.9274323084</v>
      </c>
      <c r="K59" s="83">
        <f t="shared" ca="1" si="13"/>
        <v>1540799.1274323086</v>
      </c>
      <c r="L59" s="83">
        <f t="shared" ca="1" si="13"/>
        <v>0</v>
      </c>
      <c r="M59" s="83">
        <f t="shared" ca="1" si="13"/>
        <v>0</v>
      </c>
      <c r="N59" s="123">
        <f t="shared" ca="1" si="13"/>
        <v>0</v>
      </c>
      <c r="O59" s="123">
        <f t="shared" ca="1" si="13"/>
        <v>0</v>
      </c>
      <c r="P59" s="123">
        <f t="shared" ca="1" si="13"/>
        <v>0</v>
      </c>
      <c r="Q59" s="123">
        <f t="shared" ca="1" si="13"/>
        <v>0</v>
      </c>
      <c r="R59" s="123">
        <f t="shared" ca="1" si="13"/>
        <v>0</v>
      </c>
      <c r="S59" s="123">
        <f t="shared" ca="1" si="13"/>
        <v>0</v>
      </c>
      <c r="T59" s="123">
        <f t="shared" ca="1" si="13"/>
        <v>0</v>
      </c>
      <c r="U59" s="123">
        <f t="shared" ca="1" si="13"/>
        <v>0</v>
      </c>
      <c r="V59" s="123">
        <f t="shared" ca="1" si="13"/>
        <v>0</v>
      </c>
      <c r="W59" s="123">
        <f t="shared" ca="1" si="13"/>
        <v>0</v>
      </c>
    </row>
    <row r="60" spans="2:23" x14ac:dyDescent="0.2">
      <c r="N60" s="129"/>
      <c r="O60" s="129"/>
      <c r="P60" s="129"/>
      <c r="Q60" s="129"/>
      <c r="R60" s="129"/>
      <c r="S60" s="129"/>
      <c r="T60" s="129"/>
      <c r="U60" s="129"/>
      <c r="V60" s="129"/>
      <c r="W60" s="129"/>
    </row>
    <row r="61" spans="2:23" x14ac:dyDescent="0.2">
      <c r="B61" s="1" t="s">
        <v>312</v>
      </c>
      <c r="N61" s="129"/>
      <c r="O61" s="129"/>
      <c r="P61" s="129"/>
      <c r="Q61" s="129"/>
      <c r="R61" s="129"/>
      <c r="S61" s="129"/>
      <c r="T61" s="129"/>
      <c r="U61" s="129"/>
      <c r="V61" s="129"/>
      <c r="W61" s="129"/>
    </row>
    <row r="62" spans="2:23" x14ac:dyDescent="0.2">
      <c r="B62" s="2" t="s">
        <v>313</v>
      </c>
      <c r="D62" s="83">
        <f>SUM('CF &amp; WC'!D25:D25)*Finance!D25</f>
        <v>0</v>
      </c>
      <c r="E62" s="123">
        <f ca="1">SUM('CF &amp; WC'!E25:E25)*Finance!E25</f>
        <v>11350553</v>
      </c>
      <c r="F62" s="123">
        <f ca="1">SUM('CF &amp; WC'!F25:F25)*Finance!F25</f>
        <v>3039162</v>
      </c>
      <c r="G62" s="123">
        <f ca="1">SUM('CF &amp; WC'!G25:G25)*Finance!G25</f>
        <v>2241760</v>
      </c>
      <c r="H62" s="123">
        <f ca="1">SUM('CF &amp; WC'!H25:H25)*Finance!H25</f>
        <v>1315505</v>
      </c>
      <c r="I62" s="123">
        <f ca="1">SUM('CF &amp; WC'!I25:I25)*Finance!I25</f>
        <v>1176912</v>
      </c>
      <c r="J62" s="123">
        <f ca="1">SUM('CF &amp; WC'!J25:J25)*Finance!J25</f>
        <v>583814</v>
      </c>
      <c r="K62" s="123">
        <f ca="1">SUM('CF &amp; WC'!K25:K25)*Finance!K25</f>
        <v>111402</v>
      </c>
      <c r="L62" s="123">
        <f ca="1">SUM('CF &amp; WC'!L25:L25)*Finance!L25</f>
        <v>0</v>
      </c>
      <c r="M62" s="123">
        <f ca="1">SUM('CF &amp; WC'!M25:M25)*Finance!M25</f>
        <v>0</v>
      </c>
      <c r="N62" s="123">
        <f ca="1">SUM('CF &amp; WC'!N25:N25)*Finance!N25</f>
        <v>0</v>
      </c>
      <c r="O62" s="123">
        <f ca="1">SUM('CF &amp; WC'!O25:O25)*Finance!O25</f>
        <v>0</v>
      </c>
      <c r="P62" s="123">
        <f ca="1">SUM('CF &amp; WC'!P25:P25)*Finance!P25</f>
        <v>0</v>
      </c>
      <c r="Q62" s="123">
        <f ca="1">SUM('CF &amp; WC'!Q25:Q25)*Finance!Q25</f>
        <v>0</v>
      </c>
      <c r="R62" s="123">
        <f ca="1">SUM('CF &amp; WC'!R25:R25)*Finance!R25</f>
        <v>0</v>
      </c>
      <c r="S62" s="123">
        <f ca="1">SUM('CF &amp; WC'!S25:S25)*Finance!S25</f>
        <v>0</v>
      </c>
      <c r="T62" s="123">
        <f ca="1">SUM('CF &amp; WC'!T25:T25)*Finance!T25</f>
        <v>0</v>
      </c>
      <c r="U62" s="123">
        <f ca="1">SUM('CF &amp; WC'!U25:U25)*Finance!U25</f>
        <v>0</v>
      </c>
      <c r="V62" s="123">
        <f ca="1">SUM('CF &amp; WC'!V25:V25)*Finance!V25</f>
        <v>0</v>
      </c>
      <c r="W62" s="123">
        <f ca="1">SUM('CF &amp; WC'!W25:W25)*Finance!W25</f>
        <v>0</v>
      </c>
    </row>
    <row r="63" spans="2:23" x14ac:dyDescent="0.2">
      <c r="B63" s="2" t="s">
        <v>314</v>
      </c>
      <c r="D63" s="83">
        <f t="shared" ref="D63:W63" si="14">SUM(D62:D62)</f>
        <v>0</v>
      </c>
      <c r="E63" s="83">
        <f t="shared" ca="1" si="14"/>
        <v>11350553</v>
      </c>
      <c r="F63" s="83">
        <f t="shared" ca="1" si="14"/>
        <v>3039162</v>
      </c>
      <c r="G63" s="83">
        <f t="shared" ca="1" si="14"/>
        <v>2241760</v>
      </c>
      <c r="H63" s="83">
        <f t="shared" ca="1" si="14"/>
        <v>1315505</v>
      </c>
      <c r="I63" s="83">
        <f t="shared" ca="1" si="14"/>
        <v>1176912</v>
      </c>
      <c r="J63" s="83">
        <f t="shared" ca="1" si="14"/>
        <v>583814</v>
      </c>
      <c r="K63" s="83">
        <f t="shared" ca="1" si="14"/>
        <v>111402</v>
      </c>
      <c r="L63" s="83">
        <f t="shared" ca="1" si="14"/>
        <v>0</v>
      </c>
      <c r="M63" s="83">
        <f t="shared" ca="1" si="14"/>
        <v>0</v>
      </c>
      <c r="N63" s="123">
        <f t="shared" ca="1" si="14"/>
        <v>0</v>
      </c>
      <c r="O63" s="123">
        <f t="shared" ca="1" si="14"/>
        <v>0</v>
      </c>
      <c r="P63" s="123">
        <f t="shared" ca="1" si="14"/>
        <v>0</v>
      </c>
      <c r="Q63" s="123">
        <f t="shared" ca="1" si="14"/>
        <v>0</v>
      </c>
      <c r="R63" s="123">
        <f t="shared" ca="1" si="14"/>
        <v>0</v>
      </c>
      <c r="S63" s="123">
        <f t="shared" ca="1" si="14"/>
        <v>0</v>
      </c>
      <c r="T63" s="123">
        <f t="shared" ca="1" si="14"/>
        <v>0</v>
      </c>
      <c r="U63" s="123">
        <f t="shared" ca="1" si="14"/>
        <v>0</v>
      </c>
      <c r="V63" s="123">
        <f t="shared" ca="1" si="14"/>
        <v>0</v>
      </c>
      <c r="W63" s="123">
        <f t="shared" ca="1" si="14"/>
        <v>0</v>
      </c>
    </row>
    <row r="64" spans="2:23" x14ac:dyDescent="0.2">
      <c r="N64" s="129"/>
      <c r="O64" s="129"/>
      <c r="P64" s="129"/>
      <c r="Q64" s="129"/>
      <c r="R64" s="129"/>
      <c r="S64" s="129"/>
      <c r="T64" s="129"/>
      <c r="U64" s="129"/>
      <c r="V64" s="129"/>
      <c r="W64" s="129"/>
    </row>
    <row r="65" spans="1:23" x14ac:dyDescent="0.2">
      <c r="B65" s="1" t="s">
        <v>393</v>
      </c>
      <c r="D65" s="83">
        <f>'CF &amp; WC'!D$15*Finance!D25</f>
        <v>0</v>
      </c>
      <c r="E65" s="123">
        <f ca="1">'CF &amp; WC'!E$15*Finance!E25</f>
        <v>-1031868.4405362781</v>
      </c>
      <c r="F65" s="123">
        <f ca="1">'CF &amp; WC'!F$15*Finance!F25</f>
        <v>-276287.44105132157</v>
      </c>
      <c r="G65" s="123">
        <f ca="1">'CF &amp; WC'!G$15*Finance!G25</f>
        <v>-203796.42335230764</v>
      </c>
      <c r="H65" s="123">
        <f ca="1">'CF &amp; WC'!H$15*Finance!H25</f>
        <v>632057.64908358967</v>
      </c>
      <c r="I65" s="123">
        <f ca="1">'CF &amp; WC'!I$15*Finance!I25</f>
        <v>-355151.67256769142</v>
      </c>
      <c r="J65" s="123">
        <f ca="1">'CF &amp; WC'!J$15*Finance!J25</f>
        <v>648825.92743230844</v>
      </c>
      <c r="K65" s="123">
        <f ca="1">'CF &amp; WC'!K$15*Finance!K25</f>
        <v>1429397.1274323086</v>
      </c>
      <c r="L65" s="123">
        <f ca="1">'CF &amp; WC'!L$15*Finance!L25</f>
        <v>0</v>
      </c>
      <c r="M65" s="123">
        <f ca="1">'CF &amp; WC'!M$15*Finance!M25</f>
        <v>0</v>
      </c>
      <c r="N65" s="123">
        <f ca="1">'CF &amp; WC'!N$15*Finance!N25</f>
        <v>0</v>
      </c>
      <c r="O65" s="123">
        <f ca="1">'CF &amp; WC'!O$15*Finance!O25</f>
        <v>0</v>
      </c>
      <c r="P65" s="123">
        <f ca="1">'CF &amp; WC'!P$15*Finance!P25</f>
        <v>0</v>
      </c>
      <c r="Q65" s="123">
        <f ca="1">'CF &amp; WC'!Q$15*Finance!Q25</f>
        <v>0</v>
      </c>
      <c r="R65" s="123">
        <f ca="1">'CF &amp; WC'!R$15*Finance!R25</f>
        <v>0</v>
      </c>
      <c r="S65" s="123">
        <f ca="1">'CF &amp; WC'!S$15*Finance!S25</f>
        <v>0</v>
      </c>
      <c r="T65" s="123">
        <f ca="1">'CF &amp; WC'!T$15*Finance!T25</f>
        <v>0</v>
      </c>
      <c r="U65" s="123">
        <f ca="1">'CF &amp; WC'!U$15*Finance!U25</f>
        <v>0</v>
      </c>
      <c r="V65" s="123">
        <f ca="1">'CF &amp; WC'!V$15*Finance!V25</f>
        <v>0</v>
      </c>
      <c r="W65" s="123">
        <f ca="1">'CF &amp; WC'!W$15*Finance!W25</f>
        <v>0</v>
      </c>
    </row>
    <row r="66" spans="1:23" x14ac:dyDescent="0.2">
      <c r="N66" s="129"/>
      <c r="O66" s="129"/>
      <c r="P66" s="129"/>
      <c r="Q66" s="129"/>
      <c r="R66" s="129"/>
      <c r="S66" s="129"/>
      <c r="T66" s="129"/>
      <c r="U66" s="129"/>
      <c r="V66" s="129"/>
      <c r="W66" s="129"/>
    </row>
    <row r="67" spans="1:23" x14ac:dyDescent="0.2">
      <c r="B67" s="1" t="s">
        <v>315</v>
      </c>
      <c r="D67" s="83">
        <f>SUM(D63:D65)</f>
        <v>0</v>
      </c>
      <c r="E67" s="83">
        <f t="shared" ref="E67:M67" ca="1" si="15">SUM(E63:E65)</f>
        <v>10318684.559463723</v>
      </c>
      <c r="F67" s="83">
        <f t="shared" ca="1" si="15"/>
        <v>2762874.5589486784</v>
      </c>
      <c r="G67" s="83">
        <f t="shared" ca="1" si="15"/>
        <v>2037963.5766476924</v>
      </c>
      <c r="H67" s="83">
        <f t="shared" ca="1" si="15"/>
        <v>1947562.6490835897</v>
      </c>
      <c r="I67" s="83">
        <f t="shared" ca="1" si="15"/>
        <v>821760.32743230858</v>
      </c>
      <c r="J67" s="83">
        <f t="shared" ca="1" si="15"/>
        <v>1232639.9274323084</v>
      </c>
      <c r="K67" s="83">
        <f t="shared" ca="1" si="15"/>
        <v>1540799.1274323086</v>
      </c>
      <c r="L67" s="83">
        <f t="shared" ca="1" si="15"/>
        <v>0</v>
      </c>
      <c r="M67" s="83">
        <f t="shared" ca="1" si="15"/>
        <v>0</v>
      </c>
      <c r="N67" s="123">
        <f t="shared" ref="N67:W67" ca="1" si="16">SUM(N63:N65)</f>
        <v>0</v>
      </c>
      <c r="O67" s="123">
        <f t="shared" ca="1" si="16"/>
        <v>0</v>
      </c>
      <c r="P67" s="123">
        <f t="shared" ca="1" si="16"/>
        <v>0</v>
      </c>
      <c r="Q67" s="123">
        <f t="shared" ca="1" si="16"/>
        <v>0</v>
      </c>
      <c r="R67" s="123">
        <f t="shared" ca="1" si="16"/>
        <v>0</v>
      </c>
      <c r="S67" s="123">
        <f t="shared" ca="1" si="16"/>
        <v>0</v>
      </c>
      <c r="T67" s="123">
        <f t="shared" ca="1" si="16"/>
        <v>0</v>
      </c>
      <c r="U67" s="123">
        <f t="shared" ca="1" si="16"/>
        <v>0</v>
      </c>
      <c r="V67" s="123">
        <f t="shared" ca="1" si="16"/>
        <v>0</v>
      </c>
      <c r="W67" s="123">
        <f t="shared" ca="1" si="16"/>
        <v>0</v>
      </c>
    </row>
    <row r="68" spans="1:23" x14ac:dyDescent="0.2">
      <c r="B68" s="1"/>
      <c r="D68" s="83"/>
      <c r="E68" s="83"/>
      <c r="F68" s="83"/>
      <c r="G68" s="83"/>
      <c r="H68" s="83"/>
      <c r="I68" s="83"/>
      <c r="J68" s="83"/>
      <c r="K68" s="83"/>
      <c r="L68" s="83"/>
      <c r="M68" s="83"/>
    </row>
    <row r="70" spans="1:23" x14ac:dyDescent="0.2">
      <c r="B70" s="1" t="s">
        <v>381</v>
      </c>
    </row>
    <row r="71" spans="1:23" x14ac:dyDescent="0.2">
      <c r="A71" s="38"/>
      <c r="B71" s="1" t="s">
        <v>312</v>
      </c>
      <c r="D71" s="3" t="s">
        <v>397</v>
      </c>
      <c r="E71" s="129"/>
      <c r="G71" s="130"/>
      <c r="H71" s="130"/>
      <c r="I71" s="130"/>
      <c r="K71" s="130"/>
    </row>
    <row r="72" spans="1:23" x14ac:dyDescent="0.2">
      <c r="B72" s="2" t="s">
        <v>309</v>
      </c>
      <c r="D72" s="186">
        <f ca="1">SUM(D56:W56)</f>
        <v>16656205.225229841</v>
      </c>
      <c r="E72" s="36">
        <f ca="1">D72/3200</f>
        <v>5205.0641328843249</v>
      </c>
      <c r="H72" s="129"/>
    </row>
    <row r="73" spans="1:23" x14ac:dyDescent="0.2">
      <c r="B73" s="2" t="s">
        <v>511</v>
      </c>
      <c r="D73" s="187">
        <f ca="1">SUM(D57:W57)</f>
        <v>4006080</v>
      </c>
      <c r="E73" s="129"/>
      <c r="H73" s="129"/>
      <c r="J73" s="129"/>
    </row>
    <row r="74" spans="1:23" x14ac:dyDescent="0.2">
      <c r="A74" s="38"/>
      <c r="B74" s="1" t="s">
        <v>311</v>
      </c>
      <c r="D74" s="187">
        <f ca="1">SUM(D72:D73)</f>
        <v>20662285.225229841</v>
      </c>
      <c r="E74" s="129"/>
      <c r="H74" s="129"/>
      <c r="J74" s="129"/>
    </row>
    <row r="75" spans="1:23" x14ac:dyDescent="0.2">
      <c r="D75" s="188"/>
      <c r="E75" s="129"/>
      <c r="H75" s="129"/>
      <c r="J75" s="129"/>
    </row>
    <row r="76" spans="1:23" x14ac:dyDescent="0.2">
      <c r="A76" s="38"/>
      <c r="B76" s="1" t="s">
        <v>324</v>
      </c>
      <c r="D76" s="188"/>
      <c r="E76" s="129"/>
      <c r="H76" s="129"/>
      <c r="J76" s="129"/>
    </row>
    <row r="77" spans="1:23" x14ac:dyDescent="0.2">
      <c r="B77" s="2" t="s">
        <v>313</v>
      </c>
      <c r="D77" s="187">
        <f ca="1">SUM(D62:W62)</f>
        <v>19819108</v>
      </c>
      <c r="E77" s="129"/>
      <c r="H77" s="129"/>
      <c r="J77" s="129"/>
    </row>
    <row r="78" spans="1:23" x14ac:dyDescent="0.2">
      <c r="B78" s="2" t="s">
        <v>512</v>
      </c>
      <c r="D78" s="187">
        <f ca="1">SUM(D65:W65)-SUM(D58:W58)</f>
        <v>843177.22522984142</v>
      </c>
      <c r="E78" s="129"/>
      <c r="H78" s="129"/>
      <c r="J78" s="129"/>
    </row>
    <row r="79" spans="1:23" x14ac:dyDescent="0.2">
      <c r="B79" s="1" t="s">
        <v>315</v>
      </c>
      <c r="D79" s="189">
        <f ca="1">SUM(D77:D78)</f>
        <v>20662285.225229841</v>
      </c>
      <c r="E79" s="129"/>
      <c r="H79" s="129"/>
      <c r="J79" s="129"/>
    </row>
    <row r="80" spans="1:23" x14ac:dyDescent="0.2">
      <c r="D80" s="49"/>
      <c r="E80" s="129"/>
    </row>
    <row r="81" spans="2:5" x14ac:dyDescent="0.2">
      <c r="B81" s="2" t="s">
        <v>385</v>
      </c>
      <c r="D81" s="77">
        <f ca="1">+D79-D74</f>
        <v>0</v>
      </c>
      <c r="E81" s="129"/>
    </row>
    <row r="82" spans="2:5" x14ac:dyDescent="0.2">
      <c r="E82" s="129"/>
    </row>
    <row r="83" spans="2:5" x14ac:dyDescent="0.2">
      <c r="E83" s="129"/>
    </row>
    <row r="84" spans="2:5" x14ac:dyDescent="0.2">
      <c r="E84" s="129"/>
    </row>
    <row r="85" spans="2:5" x14ac:dyDescent="0.2">
      <c r="E85" s="129"/>
    </row>
    <row r="86" spans="2:5" x14ac:dyDescent="0.2">
      <c r="E86" s="1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21"/>
  <sheetViews>
    <sheetView showGridLines="0" zoomScaleNormal="100" workbookViewId="0">
      <selection activeCell="D22" sqref="D22"/>
    </sheetView>
  </sheetViews>
  <sheetFormatPr defaultRowHeight="12.75" x14ac:dyDescent="0.2"/>
  <cols>
    <col min="1" max="1" width="3" style="2" customWidth="1"/>
    <col min="2" max="2" width="28.140625" style="2" customWidth="1"/>
    <col min="3" max="3" width="37.28515625" style="2" customWidth="1"/>
    <col min="4" max="4" width="15.42578125" style="2" customWidth="1"/>
    <col min="5" max="5" width="16.28515625" style="2" customWidth="1"/>
    <col min="6" max="6" width="12" style="2" customWidth="1"/>
    <col min="7" max="16384" width="9.140625" style="2"/>
  </cols>
  <sheetData>
    <row r="1" spans="2:6" ht="13.5" thickBot="1" x14ac:dyDescent="0.25"/>
    <row r="2" spans="2:6" ht="14.25" thickTop="1" thickBot="1" x14ac:dyDescent="0.25">
      <c r="B2" s="214" t="s">
        <v>468</v>
      </c>
      <c r="C2" s="215"/>
      <c r="D2" s="215"/>
      <c r="E2" s="215"/>
      <c r="F2" s="216"/>
    </row>
    <row r="3" spans="2:6" ht="14.25" thickTop="1" thickBot="1" x14ac:dyDescent="0.25"/>
    <row r="4" spans="2:6" x14ac:dyDescent="0.2">
      <c r="B4" s="104" t="s">
        <v>361</v>
      </c>
      <c r="C4" s="101"/>
      <c r="D4" s="108"/>
      <c r="E4" s="108"/>
      <c r="F4" s="103"/>
    </row>
    <row r="5" spans="2:6" x14ac:dyDescent="0.2">
      <c r="B5" s="109"/>
      <c r="C5" s="105"/>
      <c r="D5" s="105"/>
      <c r="E5" s="191" t="s">
        <v>375</v>
      </c>
      <c r="F5" s="102"/>
    </row>
    <row r="6" spans="2:6" x14ac:dyDescent="0.2">
      <c r="B6" s="109"/>
      <c r="C6" s="105"/>
      <c r="D6" s="105"/>
      <c r="E6" s="105"/>
      <c r="F6" s="110"/>
    </row>
    <row r="7" spans="2:6" s="129" customFormat="1" x14ac:dyDescent="0.2">
      <c r="B7" s="109" t="s">
        <v>574</v>
      </c>
      <c r="C7" s="105"/>
      <c r="D7" s="105"/>
      <c r="E7" s="239">
        <f>Nursery!J72</f>
        <v>4.202159060988345</v>
      </c>
      <c r="F7" s="110"/>
    </row>
    <row r="8" spans="2:6" s="129" customFormat="1" x14ac:dyDescent="0.2">
      <c r="B8" s="109"/>
      <c r="C8" s="105"/>
      <c r="D8" s="105"/>
      <c r="E8" s="105"/>
      <c r="F8" s="110"/>
    </row>
    <row r="9" spans="2:6" s="129" customFormat="1" x14ac:dyDescent="0.2">
      <c r="B9" s="109" t="s">
        <v>573</v>
      </c>
      <c r="C9" s="105"/>
      <c r="D9" s="105"/>
      <c r="E9" s="106">
        <f>SUM('Field Ops'!G211:Y211)/SUM('Inputs Field'!D17:O17)</f>
        <v>5205.0641328843249</v>
      </c>
      <c r="F9" s="110"/>
    </row>
    <row r="10" spans="2:6" s="129" customFormat="1" x14ac:dyDescent="0.2">
      <c r="B10" s="109"/>
      <c r="C10" s="105"/>
      <c r="D10" s="105"/>
      <c r="E10" s="105"/>
      <c r="F10" s="110"/>
    </row>
    <row r="11" spans="2:6" x14ac:dyDescent="0.2">
      <c r="B11" s="109" t="s">
        <v>388</v>
      </c>
      <c r="C11" s="105"/>
      <c r="D11" s="105"/>
      <c r="E11" s="106">
        <f ca="1">+Summary!D77/1000000</f>
        <v>19.819108</v>
      </c>
      <c r="F11" s="114"/>
    </row>
    <row r="12" spans="2:6" x14ac:dyDescent="0.2">
      <c r="B12" s="109"/>
      <c r="C12" s="105"/>
      <c r="D12" s="105"/>
      <c r="E12" s="106"/>
      <c r="F12" s="110"/>
    </row>
    <row r="13" spans="2:6" x14ac:dyDescent="0.2">
      <c r="B13" s="109" t="s">
        <v>387</v>
      </c>
      <c r="C13" s="105"/>
      <c r="D13" s="105"/>
      <c r="E13" s="107">
        <f ca="1">'Total Revenue &amp; Costs'!C33</f>
        <v>13</v>
      </c>
      <c r="F13" s="111"/>
    </row>
    <row r="14" spans="2:6" x14ac:dyDescent="0.2">
      <c r="B14" s="109"/>
      <c r="C14" s="105"/>
      <c r="D14" s="105"/>
      <c r="E14" s="107"/>
      <c r="F14" s="111"/>
    </row>
    <row r="15" spans="2:6" x14ac:dyDescent="0.2">
      <c r="B15" s="109" t="s">
        <v>389</v>
      </c>
      <c r="C15" s="105"/>
      <c r="D15" s="105"/>
      <c r="E15" s="106">
        <f ca="1">Summary!D77/1000000</f>
        <v>19.819108</v>
      </c>
      <c r="F15" s="111"/>
    </row>
    <row r="16" spans="2:6" x14ac:dyDescent="0.2">
      <c r="B16" s="116"/>
      <c r="C16" s="105"/>
      <c r="D16" s="105"/>
      <c r="E16" s="105"/>
      <c r="F16" s="110"/>
    </row>
    <row r="17" spans="2:6" x14ac:dyDescent="0.2">
      <c r="B17" s="109" t="s">
        <v>390</v>
      </c>
      <c r="C17" s="105"/>
      <c r="D17" s="105"/>
      <c r="E17" s="127">
        <f ca="1">ROI!D22</f>
        <v>8.9635233179359286E-2</v>
      </c>
      <c r="F17" s="110"/>
    </row>
    <row r="18" spans="2:6" ht="13.5" thickBot="1" x14ac:dyDescent="0.25">
      <c r="B18" s="112"/>
      <c r="C18" s="113"/>
      <c r="D18" s="113"/>
      <c r="E18" s="113"/>
      <c r="F18" s="115"/>
    </row>
    <row r="19" spans="2:6" x14ac:dyDescent="0.2">
      <c r="B19" s="105"/>
      <c r="C19" s="105"/>
      <c r="D19" s="105"/>
      <c r="E19" s="105"/>
      <c r="F19" s="105"/>
    </row>
    <row r="20" spans="2:6" x14ac:dyDescent="0.2">
      <c r="B20" s="105"/>
      <c r="C20" s="105"/>
      <c r="D20" s="105"/>
      <c r="E20" s="105"/>
      <c r="F20" s="105"/>
    </row>
    <row r="21" spans="2:6" x14ac:dyDescent="0.2">
      <c r="B21" s="105"/>
      <c r="C21" s="105"/>
      <c r="D21" s="105"/>
      <c r="E21" s="105"/>
      <c r="F21" s="10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38"/>
  <sheetViews>
    <sheetView showGridLines="0" topLeftCell="B1" zoomScaleNormal="100" workbookViewId="0">
      <pane xSplit="1" ySplit="4" topLeftCell="C5" activePane="bottomRight" state="frozen"/>
      <selection activeCell="B1" sqref="B1"/>
      <selection pane="topRight" activeCell="C1" sqref="C1"/>
      <selection pane="bottomLeft" activeCell="B2" sqref="B2"/>
      <selection pane="bottomRight" activeCell="D31" sqref="D31"/>
    </sheetView>
  </sheetViews>
  <sheetFormatPr defaultRowHeight="12.75" x14ac:dyDescent="0.2"/>
  <cols>
    <col min="1" max="1" width="9.140625" style="2"/>
    <col min="2" max="2" width="35.28515625" style="2" customWidth="1"/>
    <col min="3" max="3" width="9.140625" style="2"/>
    <col min="4" max="23" width="15.7109375" style="2" customWidth="1"/>
    <col min="24" max="16384" width="9.140625" style="2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374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2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7" spans="2:23" x14ac:dyDescent="0.2">
      <c r="B7" s="2" t="s">
        <v>246</v>
      </c>
      <c r="D7" s="43">
        <v>0.15</v>
      </c>
      <c r="J7" s="6"/>
    </row>
    <row r="8" spans="2:23" x14ac:dyDescent="0.2">
      <c r="B8" s="2" t="s">
        <v>259</v>
      </c>
      <c r="D8" s="2">
        <f>+'Inputs General'!E24</f>
        <v>10</v>
      </c>
      <c r="J8" s="6"/>
    </row>
    <row r="9" spans="2:23" x14ac:dyDescent="0.2">
      <c r="B9" s="46"/>
      <c r="C9" s="46"/>
      <c r="D9" s="47"/>
      <c r="J9" s="68"/>
    </row>
    <row r="10" spans="2:23" x14ac:dyDescent="0.2">
      <c r="B10" s="2" t="s">
        <v>247</v>
      </c>
      <c r="D10" s="83">
        <f>+'CF &amp; WC'!D21</f>
        <v>0</v>
      </c>
      <c r="E10" s="83">
        <f>+'CF &amp; WC'!E21</f>
        <v>-11350552.845899059</v>
      </c>
      <c r="F10" s="83">
        <f ca="1">+'CF &amp; WC'!F21</f>
        <v>-3039161.8515645373</v>
      </c>
      <c r="G10" s="83">
        <f ca="1">+'CF &amp; WC'!G21</f>
        <v>-2241760.656875384</v>
      </c>
      <c r="H10" s="83">
        <f ca="1">+'CF &amp; WC'!H21</f>
        <v>-904624.52674717922</v>
      </c>
      <c r="I10" s="83">
        <f ca="1">+'CF &amp; WC'!I21</f>
        <v>-355151.67256769142</v>
      </c>
      <c r="J10" s="83">
        <f ca="1">+'CF &amp; WC'!J21</f>
        <v>648825.92743230844</v>
      </c>
      <c r="K10" s="83">
        <f ca="1">+'CF &amp; WC'!K21</f>
        <v>1429397.1274323086</v>
      </c>
      <c r="L10" s="83">
        <f ca="1">+'CF &amp; WC'!L21</f>
        <v>1936903.5274323085</v>
      </c>
      <c r="M10" s="83">
        <f ca="1">+'CF &amp; WC'!M21</f>
        <v>2460502.9274323084</v>
      </c>
      <c r="N10" s="83">
        <f ca="1">+'CF &amp; WC'!N21</f>
        <v>2556601.1274323086</v>
      </c>
      <c r="O10" s="83">
        <f ca="1">+'CF &amp; WC'!O21</f>
        <v>2562425.260765641</v>
      </c>
      <c r="P10" s="83">
        <f ca="1">+'CF &amp; WC'!P21</f>
        <v>2591545.9274323084</v>
      </c>
      <c r="Q10" s="83">
        <f ca="1">+'CF &amp; WC'!Q21</f>
        <v>2568249.3940989748</v>
      </c>
      <c r="R10" s="83">
        <f ca="1">+'CF &amp; WC'!R21</f>
        <v>2526024.4274323084</v>
      </c>
      <c r="S10" s="83">
        <f ca="1">+'CF &amp; WC'!S21</f>
        <v>2509322.8686087793</v>
      </c>
      <c r="T10" s="83">
        <f ca="1">+'CF &amp; WC'!T21</f>
        <v>2494477.038543419</v>
      </c>
      <c r="U10" s="83">
        <f ca="1">+'CF &amp; WC'!U21</f>
        <v>2444409.9274323084</v>
      </c>
      <c r="V10" s="83">
        <f ca="1">+'CF &amp; WC'!V21</f>
        <v>2451766.7274323087</v>
      </c>
      <c r="W10" s="83">
        <f ca="1">+'CF &amp; WC'!W21</f>
        <v>2451766.7274323087</v>
      </c>
    </row>
    <row r="11" spans="2:23" x14ac:dyDescent="0.2">
      <c r="B11" s="2" t="s">
        <v>248</v>
      </c>
      <c r="C11" s="2" t="s">
        <v>190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83">
        <f ca="1">+W10*D8</f>
        <v>24517667.274323087</v>
      </c>
    </row>
    <row r="12" spans="2:23" x14ac:dyDescent="0.2">
      <c r="B12" s="2" t="s">
        <v>249</v>
      </c>
      <c r="W12" s="83">
        <v>0</v>
      </c>
    </row>
    <row r="13" spans="2:23" x14ac:dyDescent="0.2">
      <c r="B13" s="2" t="s">
        <v>250</v>
      </c>
    </row>
    <row r="14" spans="2:23" x14ac:dyDescent="0.2">
      <c r="D14" s="83">
        <f>SUM(D10:D13)</f>
        <v>0</v>
      </c>
      <c r="E14" s="83">
        <f t="shared" ref="E14:N14" si="1">SUM(E10:E13)</f>
        <v>-11350552.845899059</v>
      </c>
      <c r="F14" s="83">
        <f t="shared" ca="1" si="1"/>
        <v>-3039161.8515645373</v>
      </c>
      <c r="G14" s="83">
        <f t="shared" ca="1" si="1"/>
        <v>-2241760.656875384</v>
      </c>
      <c r="H14" s="83">
        <f t="shared" ca="1" si="1"/>
        <v>-904624.52674717922</v>
      </c>
      <c r="I14" s="83">
        <f t="shared" ca="1" si="1"/>
        <v>-355151.67256769142</v>
      </c>
      <c r="J14" s="83">
        <f t="shared" ca="1" si="1"/>
        <v>648825.92743230844</v>
      </c>
      <c r="K14" s="83">
        <f t="shared" ca="1" si="1"/>
        <v>1429397.1274323086</v>
      </c>
      <c r="L14" s="83">
        <f t="shared" ca="1" si="1"/>
        <v>1936903.5274323085</v>
      </c>
      <c r="M14" s="83">
        <f t="shared" ca="1" si="1"/>
        <v>2460502.9274323084</v>
      </c>
      <c r="N14" s="83">
        <f t="shared" ca="1" si="1"/>
        <v>2556601.1274323086</v>
      </c>
      <c r="O14" s="83">
        <f t="shared" ref="O14:T14" ca="1" si="2">SUM(O10:O13)</f>
        <v>2562425.260765641</v>
      </c>
      <c r="P14" s="83">
        <f t="shared" ca="1" si="2"/>
        <v>2591545.9274323084</v>
      </c>
      <c r="Q14" s="83">
        <f t="shared" ca="1" si="2"/>
        <v>2568249.3940989748</v>
      </c>
      <c r="R14" s="83">
        <f t="shared" ca="1" si="2"/>
        <v>2526024.4274323084</v>
      </c>
      <c r="S14" s="83">
        <f t="shared" ca="1" si="2"/>
        <v>2509322.8686087793</v>
      </c>
      <c r="T14" s="83">
        <f t="shared" ca="1" si="2"/>
        <v>2494477.038543419</v>
      </c>
      <c r="U14" s="83">
        <f ca="1">SUM(U10:U13)</f>
        <v>2444409.9274323084</v>
      </c>
      <c r="V14" s="83">
        <f ca="1">SUM(V10:V13)</f>
        <v>2451766.7274323087</v>
      </c>
      <c r="W14" s="83">
        <f ca="1">SUM(W10:W13)</f>
        <v>26969434.001755394</v>
      </c>
    </row>
    <row r="15" spans="2:23" x14ac:dyDescent="0.2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2:23" x14ac:dyDescent="0.2">
      <c r="B16" s="2" t="s">
        <v>258</v>
      </c>
    </row>
    <row r="17" spans="2:23" x14ac:dyDescent="0.2">
      <c r="B17" s="2" t="s">
        <v>251</v>
      </c>
    </row>
    <row r="18" spans="2:23" x14ac:dyDescent="0.2">
      <c r="B18" s="2" t="s">
        <v>247</v>
      </c>
      <c r="D18" s="83">
        <f t="shared" ref="D18:W18" si="3">D10</f>
        <v>0</v>
      </c>
      <c r="E18" s="83">
        <f t="shared" si="3"/>
        <v>-11350552.845899059</v>
      </c>
      <c r="F18" s="83">
        <f t="shared" ca="1" si="3"/>
        <v>-3039161.8515645373</v>
      </c>
      <c r="G18" s="83">
        <f t="shared" ca="1" si="3"/>
        <v>-2241760.656875384</v>
      </c>
      <c r="H18" s="83">
        <f t="shared" ca="1" si="3"/>
        <v>-904624.52674717922</v>
      </c>
      <c r="I18" s="83">
        <f t="shared" ca="1" si="3"/>
        <v>-355151.67256769142</v>
      </c>
      <c r="J18" s="83">
        <f t="shared" ca="1" si="3"/>
        <v>648825.92743230844</v>
      </c>
      <c r="K18" s="83">
        <f t="shared" ca="1" si="3"/>
        <v>1429397.1274323086</v>
      </c>
      <c r="L18" s="83">
        <f t="shared" ca="1" si="3"/>
        <v>1936903.5274323085</v>
      </c>
      <c r="M18" s="83">
        <f t="shared" ca="1" si="3"/>
        <v>2460502.9274323084</v>
      </c>
      <c r="N18" s="83">
        <f t="shared" ca="1" si="3"/>
        <v>2556601.1274323086</v>
      </c>
      <c r="O18" s="83">
        <f t="shared" ca="1" si="3"/>
        <v>2562425.260765641</v>
      </c>
      <c r="P18" s="83">
        <f t="shared" ca="1" si="3"/>
        <v>2591545.9274323084</v>
      </c>
      <c r="Q18" s="83">
        <f t="shared" ca="1" si="3"/>
        <v>2568249.3940989748</v>
      </c>
      <c r="R18" s="83">
        <f t="shared" ca="1" si="3"/>
        <v>2526024.4274323084</v>
      </c>
      <c r="S18" s="83">
        <f t="shared" ca="1" si="3"/>
        <v>2509322.8686087793</v>
      </c>
      <c r="T18" s="83">
        <f t="shared" ca="1" si="3"/>
        <v>2494477.038543419</v>
      </c>
      <c r="U18" s="83">
        <f t="shared" ca="1" si="3"/>
        <v>2444409.9274323084</v>
      </c>
      <c r="V18" s="83">
        <f t="shared" ca="1" si="3"/>
        <v>2451766.7274323087</v>
      </c>
      <c r="W18" s="83">
        <f t="shared" ca="1" si="3"/>
        <v>2451766.7274323087</v>
      </c>
    </row>
    <row r="19" spans="2:23" x14ac:dyDescent="0.2">
      <c r="B19" s="2" t="s">
        <v>249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>
        <f ca="1">+W11</f>
        <v>24517667.274323087</v>
      </c>
    </row>
    <row r="20" spans="2:23" x14ac:dyDescent="0.2">
      <c r="B20" s="2" t="s">
        <v>250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2:23" ht="13.5" thickBot="1" x14ac:dyDescent="0.25">
      <c r="D21" s="83">
        <f>SUM(D17:D20)</f>
        <v>0</v>
      </c>
      <c r="E21" s="83">
        <f>SUM(E17:E20)</f>
        <v>-11350552.845899059</v>
      </c>
      <c r="F21" s="83">
        <f t="shared" ref="F21:N21" ca="1" si="4">SUM(F17:F20)</f>
        <v>-3039161.8515645373</v>
      </c>
      <c r="G21" s="83">
        <f t="shared" ca="1" si="4"/>
        <v>-2241760.656875384</v>
      </c>
      <c r="H21" s="83">
        <f t="shared" ca="1" si="4"/>
        <v>-904624.52674717922</v>
      </c>
      <c r="I21" s="83">
        <f t="shared" ca="1" si="4"/>
        <v>-355151.67256769142</v>
      </c>
      <c r="J21" s="83">
        <f t="shared" ca="1" si="4"/>
        <v>648825.92743230844</v>
      </c>
      <c r="K21" s="83">
        <f t="shared" ca="1" si="4"/>
        <v>1429397.1274323086</v>
      </c>
      <c r="L21" s="83">
        <f t="shared" ca="1" si="4"/>
        <v>1936903.5274323085</v>
      </c>
      <c r="M21" s="83">
        <f t="shared" ca="1" si="4"/>
        <v>2460502.9274323084</v>
      </c>
      <c r="N21" s="83">
        <f t="shared" ca="1" si="4"/>
        <v>2556601.1274323086</v>
      </c>
      <c r="O21" s="83">
        <f t="shared" ref="O21:W21" ca="1" si="5">SUM(O17:O20)</f>
        <v>2562425.260765641</v>
      </c>
      <c r="P21" s="83">
        <f t="shared" ca="1" si="5"/>
        <v>2591545.9274323084</v>
      </c>
      <c r="Q21" s="83">
        <f t="shared" ca="1" si="5"/>
        <v>2568249.3940989748</v>
      </c>
      <c r="R21" s="83">
        <f t="shared" ca="1" si="5"/>
        <v>2526024.4274323084</v>
      </c>
      <c r="S21" s="83">
        <f t="shared" ca="1" si="5"/>
        <v>2509322.8686087793</v>
      </c>
      <c r="T21" s="83">
        <f t="shared" ca="1" si="5"/>
        <v>2494477.038543419</v>
      </c>
      <c r="U21" s="83">
        <f t="shared" ca="1" si="5"/>
        <v>2444409.9274323084</v>
      </c>
      <c r="V21" s="83">
        <f t="shared" ca="1" si="5"/>
        <v>2451766.7274323087</v>
      </c>
      <c r="W21" s="83">
        <f t="shared" ca="1" si="5"/>
        <v>26969434.001755394</v>
      </c>
    </row>
    <row r="22" spans="2:23" ht="14.25" thickTop="1" thickBot="1" x14ac:dyDescent="0.25">
      <c r="B22" s="217" t="s">
        <v>117</v>
      </c>
      <c r="C22" s="99"/>
      <c r="D22" s="128">
        <f ca="1">IRR(D21:W21,0.2)</f>
        <v>8.9635233179359286E-2</v>
      </c>
    </row>
    <row r="23" spans="2:23" ht="13.5" thickTop="1" x14ac:dyDescent="0.2">
      <c r="B23" s="2" t="s">
        <v>260</v>
      </c>
    </row>
    <row r="24" spans="2:23" x14ac:dyDescent="0.2">
      <c r="B24" s="2" t="s">
        <v>252</v>
      </c>
      <c r="D24" s="83">
        <f>-'CF &amp; WC'!D24</f>
        <v>0</v>
      </c>
      <c r="E24" s="83">
        <f>-'CF &amp; WC'!E24</f>
        <v>0</v>
      </c>
      <c r="F24" s="83">
        <f>-'CF &amp; WC'!F24</f>
        <v>0</v>
      </c>
      <c r="G24" s="83">
        <f>-'CF &amp; WC'!G24</f>
        <v>0</v>
      </c>
      <c r="H24" s="83">
        <f>-'CF &amp; WC'!H24</f>
        <v>0</v>
      </c>
      <c r="I24" s="83">
        <f>-'CF &amp; WC'!I24</f>
        <v>0</v>
      </c>
      <c r="J24" s="83">
        <f>-'CF &amp; WC'!J24</f>
        <v>0</v>
      </c>
      <c r="K24" s="83">
        <f>-'CF &amp; WC'!K24</f>
        <v>0</v>
      </c>
      <c r="L24" s="83">
        <f>-'CF &amp; WC'!L24</f>
        <v>0</v>
      </c>
      <c r="M24" s="83">
        <f>-'CF &amp; WC'!M24</f>
        <v>0</v>
      </c>
      <c r="N24" s="83">
        <f>-'CF &amp; WC'!N24</f>
        <v>0</v>
      </c>
      <c r="O24" s="83">
        <f>-'CF &amp; WC'!O24</f>
        <v>0</v>
      </c>
      <c r="P24" s="83">
        <f>-'CF &amp; WC'!P24</f>
        <v>0</v>
      </c>
      <c r="Q24" s="83">
        <f>-'CF &amp; WC'!Q24</f>
        <v>0</v>
      </c>
      <c r="R24" s="83">
        <f>-'CF &amp; WC'!R24</f>
        <v>0</v>
      </c>
      <c r="S24" s="83">
        <f>-'CF &amp; WC'!S24</f>
        <v>0</v>
      </c>
      <c r="T24" s="83">
        <f>-'CF &amp; WC'!T24</f>
        <v>0</v>
      </c>
      <c r="U24" s="83">
        <f>-'CF &amp; WC'!U24</f>
        <v>0</v>
      </c>
      <c r="V24" s="83">
        <f>-'CF &amp; WC'!V24</f>
        <v>0</v>
      </c>
      <c r="W24" s="83">
        <f>-'CF &amp; WC'!W24</f>
        <v>0</v>
      </c>
    </row>
    <row r="25" spans="2:23" x14ac:dyDescent="0.2">
      <c r="B25" s="2" t="s">
        <v>253</v>
      </c>
      <c r="D25" s="2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f ca="1">+'CF &amp; WC'!K38</f>
        <v>-0.87256769137457013</v>
      </c>
      <c r="L25" s="83">
        <f ca="1">+'CF &amp; WC'!L38</f>
        <v>190663.52743230853</v>
      </c>
      <c r="M25" s="83">
        <f ca="1">+'CF &amp; WC'!M38</f>
        <v>508822.92743230844</v>
      </c>
      <c r="N25" s="83">
        <f ca="1">+'CF &amp; WC'!N38</f>
        <v>604921.12743230863</v>
      </c>
      <c r="O25" s="83">
        <f ca="1">+'CF &amp; WC'!O38</f>
        <v>610745.260765641</v>
      </c>
      <c r="P25" s="83">
        <f ca="1">+'CF &amp; WC'!P38</f>
        <v>639865.92743230844</v>
      </c>
      <c r="Q25" s="83">
        <f ca="1">+'CF &amp; WC'!Q38</f>
        <v>616569.39409897476</v>
      </c>
      <c r="R25" s="83">
        <f ca="1">+'CF &amp; WC'!R38</f>
        <v>574344.42743230844</v>
      </c>
      <c r="S25" s="83">
        <f ca="1">+'CF &amp; WC'!S38</f>
        <v>557642.86860877927</v>
      </c>
      <c r="T25" s="83">
        <f ca="1">+'CF &amp; WC'!T38</f>
        <v>542797.03854341898</v>
      </c>
      <c r="U25" s="83">
        <f ca="1">+'CF &amp; WC'!U38</f>
        <v>492729.92743230844</v>
      </c>
      <c r="V25" s="83">
        <f ca="1">+'CF &amp; WC'!V38</f>
        <v>500086.72743230872</v>
      </c>
      <c r="W25" s="83">
        <f ca="1">+'CF &amp; WC'!W38</f>
        <v>1014041.9375314163</v>
      </c>
    </row>
    <row r="26" spans="2:23" x14ac:dyDescent="0.2">
      <c r="B26" s="2" t="s">
        <v>249</v>
      </c>
      <c r="W26" s="83">
        <f ca="1">+W25*D8</f>
        <v>10140419.375314163</v>
      </c>
    </row>
    <row r="27" spans="2:23" x14ac:dyDescent="0.2">
      <c r="B27" s="2" t="s">
        <v>250</v>
      </c>
    </row>
    <row r="28" spans="2:23" ht="13.5" thickBot="1" x14ac:dyDescent="0.25">
      <c r="D28" s="83">
        <f>SUM(D24:D27)</f>
        <v>0</v>
      </c>
      <c r="E28" s="83">
        <f t="shared" ref="E28:W28" si="6">SUM(E24:E27)</f>
        <v>0</v>
      </c>
      <c r="F28" s="83">
        <f t="shared" si="6"/>
        <v>0</v>
      </c>
      <c r="G28" s="83">
        <f t="shared" si="6"/>
        <v>0</v>
      </c>
      <c r="H28" s="83">
        <f t="shared" si="6"/>
        <v>0</v>
      </c>
      <c r="I28" s="83">
        <f t="shared" si="6"/>
        <v>0</v>
      </c>
      <c r="J28" s="83">
        <f t="shared" si="6"/>
        <v>0</v>
      </c>
      <c r="K28" s="83">
        <f t="shared" ca="1" si="6"/>
        <v>-0.87256769137457013</v>
      </c>
      <c r="L28" s="83">
        <f t="shared" ca="1" si="6"/>
        <v>190663.52743230853</v>
      </c>
      <c r="M28" s="83">
        <f t="shared" ca="1" si="6"/>
        <v>508822.92743230844</v>
      </c>
      <c r="N28" s="83">
        <f t="shared" ca="1" si="6"/>
        <v>604921.12743230863</v>
      </c>
      <c r="O28" s="83">
        <f t="shared" ca="1" si="6"/>
        <v>610745.260765641</v>
      </c>
      <c r="P28" s="83">
        <f t="shared" ca="1" si="6"/>
        <v>639865.92743230844</v>
      </c>
      <c r="Q28" s="83">
        <f t="shared" ca="1" si="6"/>
        <v>616569.39409897476</v>
      </c>
      <c r="R28" s="83">
        <f t="shared" ca="1" si="6"/>
        <v>574344.42743230844</v>
      </c>
      <c r="S28" s="83">
        <f t="shared" ca="1" si="6"/>
        <v>557642.86860877927</v>
      </c>
      <c r="T28" s="83">
        <f t="shared" ca="1" si="6"/>
        <v>542797.03854341898</v>
      </c>
      <c r="U28" s="83">
        <f t="shared" ca="1" si="6"/>
        <v>492729.92743230844</v>
      </c>
      <c r="V28" s="83">
        <f t="shared" ca="1" si="6"/>
        <v>500086.72743230872</v>
      </c>
      <c r="W28" s="83">
        <f t="shared" ca="1" si="6"/>
        <v>11154461.31284558</v>
      </c>
    </row>
    <row r="29" spans="2:23" ht="14.25" thickTop="1" thickBot="1" x14ac:dyDescent="0.25">
      <c r="B29" s="217" t="s">
        <v>254</v>
      </c>
      <c r="C29" s="99"/>
      <c r="D29" s="131">
        <v>0</v>
      </c>
    </row>
    <row r="30" spans="2:23" ht="13.5" thickTop="1" x14ac:dyDescent="0.2">
      <c r="B30" s="2" t="s">
        <v>255</v>
      </c>
      <c r="D30" s="83">
        <f>-D24</f>
        <v>0</v>
      </c>
      <c r="E30" s="83">
        <f t="shared" ref="E30:W30" si="7">-E24+D30</f>
        <v>0</v>
      </c>
      <c r="F30" s="83">
        <f t="shared" si="7"/>
        <v>0</v>
      </c>
      <c r="G30" s="83">
        <f t="shared" si="7"/>
        <v>0</v>
      </c>
      <c r="H30" s="83">
        <f t="shared" si="7"/>
        <v>0</v>
      </c>
      <c r="I30" s="83">
        <f t="shared" si="7"/>
        <v>0</v>
      </c>
      <c r="J30" s="83">
        <f t="shared" si="7"/>
        <v>0</v>
      </c>
      <c r="K30" s="83">
        <f t="shared" si="7"/>
        <v>0</v>
      </c>
      <c r="L30" s="83">
        <f t="shared" si="7"/>
        <v>0</v>
      </c>
      <c r="M30" s="83">
        <f t="shared" si="7"/>
        <v>0</v>
      </c>
      <c r="N30" s="83">
        <f t="shared" si="7"/>
        <v>0</v>
      </c>
      <c r="O30" s="83">
        <f t="shared" si="7"/>
        <v>0</v>
      </c>
      <c r="P30" s="83">
        <f t="shared" si="7"/>
        <v>0</v>
      </c>
      <c r="Q30" s="83">
        <f t="shared" si="7"/>
        <v>0</v>
      </c>
      <c r="R30" s="83">
        <f t="shared" si="7"/>
        <v>0</v>
      </c>
      <c r="S30" s="83">
        <f t="shared" si="7"/>
        <v>0</v>
      </c>
      <c r="T30" s="83">
        <f t="shared" si="7"/>
        <v>0</v>
      </c>
      <c r="U30" s="83">
        <f t="shared" si="7"/>
        <v>0</v>
      </c>
      <c r="V30" s="83">
        <f t="shared" si="7"/>
        <v>0</v>
      </c>
      <c r="W30" s="83">
        <f t="shared" si="7"/>
        <v>0</v>
      </c>
    </row>
    <row r="31" spans="2:23" x14ac:dyDescent="0.2">
      <c r="B31" s="2" t="s">
        <v>256</v>
      </c>
      <c r="D31" s="83">
        <f>SUM(D30:D30)</f>
        <v>0</v>
      </c>
      <c r="E31" s="83">
        <f>SUM(E30:E30)</f>
        <v>0</v>
      </c>
      <c r="F31" s="83">
        <f t="shared" ref="F31:W31" si="8">SUM(F30:F30)</f>
        <v>0</v>
      </c>
      <c r="G31" s="83">
        <f t="shared" si="8"/>
        <v>0</v>
      </c>
      <c r="H31" s="83">
        <f t="shared" si="8"/>
        <v>0</v>
      </c>
      <c r="I31" s="83">
        <f t="shared" si="8"/>
        <v>0</v>
      </c>
      <c r="J31" s="83">
        <f t="shared" si="8"/>
        <v>0</v>
      </c>
      <c r="K31" s="83">
        <f t="shared" si="8"/>
        <v>0</v>
      </c>
      <c r="L31" s="83">
        <f t="shared" si="8"/>
        <v>0</v>
      </c>
      <c r="M31" s="83">
        <f t="shared" si="8"/>
        <v>0</v>
      </c>
      <c r="N31" s="83">
        <f t="shared" si="8"/>
        <v>0</v>
      </c>
      <c r="O31" s="83">
        <f t="shared" si="8"/>
        <v>0</v>
      </c>
      <c r="P31" s="83">
        <f t="shared" si="8"/>
        <v>0</v>
      </c>
      <c r="Q31" s="83">
        <f t="shared" si="8"/>
        <v>0</v>
      </c>
      <c r="R31" s="83">
        <f t="shared" si="8"/>
        <v>0</v>
      </c>
      <c r="S31" s="83">
        <f t="shared" si="8"/>
        <v>0</v>
      </c>
      <c r="T31" s="83">
        <f t="shared" si="8"/>
        <v>0</v>
      </c>
      <c r="U31" s="83">
        <f t="shared" si="8"/>
        <v>0</v>
      </c>
      <c r="V31" s="83">
        <f t="shared" si="8"/>
        <v>0</v>
      </c>
      <c r="W31" s="83">
        <f t="shared" si="8"/>
        <v>0</v>
      </c>
    </row>
    <row r="33" spans="2:23" x14ac:dyDescent="0.2">
      <c r="B33" s="2" t="s">
        <v>257</v>
      </c>
      <c r="D33" s="83">
        <f ca="1">+Finance!D20</f>
        <v>0</v>
      </c>
      <c r="E33" s="123">
        <f ca="1">+Finance!E20</f>
        <v>11350553</v>
      </c>
      <c r="F33" s="123">
        <f ca="1">+Finance!F20</f>
        <v>14730231.59</v>
      </c>
      <c r="G33" s="123">
        <f ca="1">+Finance!G20</f>
        <v>17413898.537700001</v>
      </c>
      <c r="H33" s="123">
        <f ca="1">+Finance!H20</f>
        <v>18840940.493831001</v>
      </c>
      <c r="I33" s="123">
        <f ca="1">+Finance!I20</f>
        <v>19761320.708645932</v>
      </c>
      <c r="J33" s="123">
        <f ca="1">+Finance!J20</f>
        <v>19705334.329905309</v>
      </c>
      <c r="K33" s="123">
        <f ca="1">+Finance!K20</f>
        <v>18867096.35980247</v>
      </c>
      <c r="L33" s="123">
        <f ca="1">+Finance!L20</f>
        <v>17686869.250596542</v>
      </c>
      <c r="M33" s="123">
        <f ca="1">+Finance!M20</f>
        <v>16265795.328114439</v>
      </c>
      <c r="N33" s="123">
        <f ca="1">+Finance!N20</f>
        <v>14802089.187957872</v>
      </c>
      <c r="O33" s="123">
        <f ca="1">+Finance!O20</f>
        <v>13294471.863596607</v>
      </c>
      <c r="P33" s="123">
        <f ca="1">+Finance!P20</f>
        <v>11741626.019504506</v>
      </c>
      <c r="Q33" s="123">
        <f ca="1">+Finance!Q20</f>
        <v>10142194.800089641</v>
      </c>
      <c r="R33" s="123">
        <f ca="1">+Finance!R20</f>
        <v>8494780.6440923288</v>
      </c>
      <c r="S33" s="123">
        <f ca="1">+Finance!S20</f>
        <v>6797944.0634150989</v>
      </c>
      <c r="T33" s="123">
        <f ca="1">+Finance!T20</f>
        <v>5050202.3853175519</v>
      </c>
      <c r="U33" s="123">
        <f ca="1">+Finance!U20</f>
        <v>3250028.4568770784</v>
      </c>
      <c r="V33" s="123">
        <f ca="1">+Finance!V20</f>
        <v>1395849.3105833908</v>
      </c>
      <c r="W33" s="123">
        <f ca="1">+Finance!W20</f>
        <v>6.5483618527650833E-11</v>
      </c>
    </row>
    <row r="35" spans="2:23" x14ac:dyDescent="0.2">
      <c r="B35" s="2" t="s">
        <v>247</v>
      </c>
      <c r="D35" s="83">
        <f t="shared" ref="D35:W35" si="9">D18</f>
        <v>0</v>
      </c>
      <c r="E35" s="83">
        <f t="shared" si="9"/>
        <v>-11350552.845899059</v>
      </c>
      <c r="F35" s="83">
        <f t="shared" ca="1" si="9"/>
        <v>-3039161.8515645373</v>
      </c>
      <c r="G35" s="83">
        <f t="shared" ca="1" si="9"/>
        <v>-2241760.656875384</v>
      </c>
      <c r="H35" s="83">
        <f t="shared" ca="1" si="9"/>
        <v>-904624.52674717922</v>
      </c>
      <c r="I35" s="83">
        <f t="shared" ca="1" si="9"/>
        <v>-355151.67256769142</v>
      </c>
      <c r="J35" s="83">
        <f t="shared" ca="1" si="9"/>
        <v>648825.92743230844</v>
      </c>
      <c r="K35" s="83">
        <f t="shared" ca="1" si="9"/>
        <v>1429397.1274323086</v>
      </c>
      <c r="L35" s="83">
        <f t="shared" ca="1" si="9"/>
        <v>1936903.5274323085</v>
      </c>
      <c r="M35" s="83">
        <f t="shared" ca="1" si="9"/>
        <v>2460502.9274323084</v>
      </c>
      <c r="N35" s="83">
        <f t="shared" ca="1" si="9"/>
        <v>2556601.1274323086</v>
      </c>
      <c r="O35" s="83">
        <f t="shared" ca="1" si="9"/>
        <v>2562425.260765641</v>
      </c>
      <c r="P35" s="83">
        <f t="shared" ca="1" si="9"/>
        <v>2591545.9274323084</v>
      </c>
      <c r="Q35" s="83">
        <f t="shared" ca="1" si="9"/>
        <v>2568249.3940989748</v>
      </c>
      <c r="R35" s="83">
        <f t="shared" ca="1" si="9"/>
        <v>2526024.4274323084</v>
      </c>
      <c r="S35" s="83">
        <f t="shared" ca="1" si="9"/>
        <v>2509322.8686087793</v>
      </c>
      <c r="T35" s="83">
        <f t="shared" ca="1" si="9"/>
        <v>2494477.038543419</v>
      </c>
      <c r="U35" s="83">
        <f t="shared" ca="1" si="9"/>
        <v>2444409.9274323084</v>
      </c>
      <c r="V35" s="83">
        <f t="shared" ca="1" si="9"/>
        <v>2451766.7274323087</v>
      </c>
      <c r="W35" s="83">
        <f t="shared" ca="1" si="9"/>
        <v>2451766.7274323087</v>
      </c>
    </row>
    <row r="36" spans="2:23" x14ac:dyDescent="0.2">
      <c r="B36" s="2" t="s">
        <v>522</v>
      </c>
      <c r="D36" s="83">
        <f>-Finance!D14+Finance!D18</f>
        <v>0</v>
      </c>
      <c r="E36" s="83">
        <f>-Finance!E14+Finance!E18</f>
        <v>0</v>
      </c>
      <c r="F36" s="83">
        <f>-Finance!F14+Finance!F18</f>
        <v>0</v>
      </c>
      <c r="G36" s="83">
        <f>-Finance!G14+Finance!G18</f>
        <v>0</v>
      </c>
      <c r="H36" s="83">
        <f ca="1">-Finance!H14+Finance!H18</f>
        <v>410880</v>
      </c>
      <c r="I36" s="83">
        <f ca="1">-Finance!I14+Finance!I18</f>
        <v>821760</v>
      </c>
      <c r="J36" s="83">
        <f ca="1">-Finance!J14+Finance!J18</f>
        <v>1232640</v>
      </c>
      <c r="K36" s="83">
        <f ca="1">-Finance!K14+Finance!K18</f>
        <v>1540800</v>
      </c>
      <c r="L36" s="83">
        <f ca="1">-Finance!L14+Finance!L18</f>
        <v>1746240</v>
      </c>
      <c r="M36" s="83">
        <f ca="1">-Finance!M14+Finance!M18</f>
        <v>1951680</v>
      </c>
      <c r="N36" s="83">
        <f ca="1">-Finance!N14+Finance!N18</f>
        <v>1951680</v>
      </c>
      <c r="O36" s="83">
        <f ca="1">-Finance!O14+Finance!O18</f>
        <v>1951680</v>
      </c>
      <c r="P36" s="83">
        <f ca="1">-Finance!P14+Finance!P18</f>
        <v>1951680</v>
      </c>
      <c r="Q36" s="83">
        <f ca="1">-Finance!Q14+Finance!Q18</f>
        <v>1951680</v>
      </c>
      <c r="R36" s="83">
        <f ca="1">-Finance!R14+Finance!R18</f>
        <v>1951680</v>
      </c>
      <c r="S36" s="83">
        <f ca="1">-Finance!S14+Finance!S18</f>
        <v>1951680</v>
      </c>
      <c r="T36" s="83">
        <f ca="1">-Finance!T14+Finance!T18</f>
        <v>1951680</v>
      </c>
      <c r="U36" s="83">
        <f ca="1">-Finance!U14+Finance!U18</f>
        <v>1951680</v>
      </c>
      <c r="V36" s="83">
        <f ca="1">-Finance!V14+Finance!V18</f>
        <v>1951680</v>
      </c>
      <c r="W36" s="83">
        <f ca="1">-Finance!W14+Finance!W18</f>
        <v>1437724.7899008924</v>
      </c>
    </row>
    <row r="38" spans="2:23" x14ac:dyDescent="0.2">
      <c r="B38" s="2" t="s">
        <v>523</v>
      </c>
      <c r="D38" s="82">
        <f t="shared" ref="D38:W38" si="10">IF(SUM(D36:D36)=0,0,D35/SUM(D36:D36))</f>
        <v>0</v>
      </c>
      <c r="E38" s="82">
        <f t="shared" si="10"/>
        <v>0</v>
      </c>
      <c r="F38" s="82">
        <f t="shared" si="10"/>
        <v>0</v>
      </c>
      <c r="G38" s="82">
        <f t="shared" si="10"/>
        <v>0</v>
      </c>
      <c r="H38" s="82">
        <f t="shared" ca="1" si="10"/>
        <v>-2.2016757368262736</v>
      </c>
      <c r="I38" s="82">
        <f t="shared" ca="1" si="10"/>
        <v>-0.43218418098677402</v>
      </c>
      <c r="J38" s="82">
        <f t="shared" ca="1" si="10"/>
        <v>0.52637098214588884</v>
      </c>
      <c r="K38" s="82">
        <f t="shared" ca="1" si="10"/>
        <v>0.92769803182263022</v>
      </c>
      <c r="L38" s="82">
        <f t="shared" ca="1" si="10"/>
        <v>1.1091851792607594</v>
      </c>
      <c r="M38" s="82">
        <f t="shared" ca="1" si="10"/>
        <v>1.2607102226965017</v>
      </c>
      <c r="N38" s="82">
        <f t="shared" ca="1" si="10"/>
        <v>1.3099489298616109</v>
      </c>
      <c r="O38" s="82">
        <f t="shared" ca="1" si="10"/>
        <v>1.312933093932223</v>
      </c>
      <c r="P38" s="82">
        <f t="shared" ca="1" si="10"/>
        <v>1.3278539142852868</v>
      </c>
      <c r="Q38" s="82">
        <f t="shared" ca="1" si="10"/>
        <v>1.315917258002836</v>
      </c>
      <c r="R38" s="82">
        <f t="shared" ca="1" si="10"/>
        <v>1.2942820684908942</v>
      </c>
      <c r="S38" s="82">
        <f t="shared" ca="1" si="10"/>
        <v>1.285724539170755</v>
      </c>
      <c r="T38" s="82">
        <f t="shared" ca="1" si="10"/>
        <v>1.278117846441742</v>
      </c>
      <c r="U38" s="82">
        <f t="shared" ca="1" si="10"/>
        <v>1.2524645061855983</v>
      </c>
      <c r="V38" s="82">
        <f t="shared" ca="1" si="10"/>
        <v>1.2562339765905828</v>
      </c>
      <c r="W38" s="82">
        <f t="shared" ca="1" si="10"/>
        <v>1.7053101849911887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81"/>
  <sheetViews>
    <sheetView showGridLines="0" topLeftCell="B1" zoomScaleNormal="100" workbookViewId="0">
      <pane xSplit="2" ySplit="4" topLeftCell="D27" activePane="bottomRight" state="frozen"/>
      <selection activeCell="B1" sqref="B1"/>
      <selection pane="topRight" activeCell="D1" sqref="D1"/>
      <selection pane="bottomLeft" activeCell="B2" sqref="B2"/>
      <selection pane="bottomRight" activeCell="A53" sqref="A53"/>
    </sheetView>
  </sheetViews>
  <sheetFormatPr defaultRowHeight="12.75" x14ac:dyDescent="0.2"/>
  <cols>
    <col min="1" max="1" width="9.140625" style="2"/>
    <col min="2" max="2" width="44.85546875" style="2" customWidth="1"/>
    <col min="3" max="3" width="14.85546875" style="2" customWidth="1"/>
    <col min="4" max="23" width="15.7109375" style="2" customWidth="1"/>
    <col min="24" max="16384" width="9.140625" style="2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222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2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7" spans="2:23" x14ac:dyDescent="0.2">
      <c r="B7" s="2" t="s">
        <v>150</v>
      </c>
      <c r="C7" s="3" t="s">
        <v>494</v>
      </c>
      <c r="D7" s="83">
        <f>+'Field Ops'!F17</f>
        <v>0</v>
      </c>
      <c r="E7" s="83">
        <f>+'Field Ops'!G17</f>
        <v>3200</v>
      </c>
      <c r="F7" s="83">
        <f>+'Field Ops'!H17</f>
        <v>3200</v>
      </c>
      <c r="G7" s="83">
        <f>+'Field Ops'!I17</f>
        <v>3200</v>
      </c>
      <c r="H7" s="83">
        <f>+'Field Ops'!J17</f>
        <v>3200</v>
      </c>
      <c r="I7" s="83">
        <f>+'Field Ops'!K17</f>
        <v>3200</v>
      </c>
      <c r="J7" s="83">
        <f>+'Field Ops'!L17</f>
        <v>3200</v>
      </c>
      <c r="K7" s="83">
        <f>+'Field Ops'!M17</f>
        <v>3200</v>
      </c>
      <c r="L7" s="83">
        <f>+'Field Ops'!N17</f>
        <v>3200</v>
      </c>
      <c r="M7" s="83">
        <f>+'Field Ops'!O17</f>
        <v>3200</v>
      </c>
      <c r="N7" s="83">
        <f>+'Field Ops'!P17</f>
        <v>3200</v>
      </c>
      <c r="O7" s="83">
        <f>+'Field Ops'!Q17</f>
        <v>3200</v>
      </c>
      <c r="P7" s="83">
        <f>+'Field Ops'!R17</f>
        <v>3200</v>
      </c>
      <c r="Q7" s="83">
        <f>+'Field Ops'!S17</f>
        <v>3200</v>
      </c>
      <c r="R7" s="83">
        <f>+'Field Ops'!T17</f>
        <v>3200</v>
      </c>
      <c r="S7" s="83">
        <f>+'Field Ops'!U17</f>
        <v>3200</v>
      </c>
      <c r="T7" s="83">
        <f>+'Field Ops'!V17</f>
        <v>3200</v>
      </c>
      <c r="U7" s="83">
        <f>+'Field Ops'!W17</f>
        <v>3200</v>
      </c>
      <c r="V7" s="83">
        <f>+'Field Ops'!X17</f>
        <v>3200</v>
      </c>
      <c r="W7" s="83">
        <f>+'Field Ops'!Y17</f>
        <v>3200</v>
      </c>
    </row>
    <row r="9" spans="2:23" x14ac:dyDescent="0.2">
      <c r="B9" s="129" t="s">
        <v>98</v>
      </c>
      <c r="C9" s="3" t="s">
        <v>152</v>
      </c>
      <c r="D9" s="83">
        <f>+'P&amp;L'!D10</f>
        <v>0</v>
      </c>
      <c r="E9" s="123">
        <f>+'P&amp;L'!E10</f>
        <v>0</v>
      </c>
      <c r="F9" s="123">
        <f>+'P&amp;L'!F10</f>
        <v>0</v>
      </c>
      <c r="G9" s="123">
        <f>+'P&amp;L'!G10</f>
        <v>0</v>
      </c>
      <c r="H9" s="123">
        <f>+'P&amp;L'!H10</f>
        <v>12800</v>
      </c>
      <c r="I9" s="123">
        <f>+'P&amp;L'!I10</f>
        <v>25600</v>
      </c>
      <c r="J9" s="123">
        <f>+'P&amp;L'!J10</f>
        <v>38400</v>
      </c>
      <c r="K9" s="123">
        <f>+'P&amp;L'!K10</f>
        <v>48000</v>
      </c>
      <c r="L9" s="123">
        <f>+'P&amp;L'!L10</f>
        <v>54400</v>
      </c>
      <c r="M9" s="123">
        <f>+'P&amp;L'!M10</f>
        <v>60800</v>
      </c>
      <c r="N9" s="123">
        <f>+'P&amp;L'!N10</f>
        <v>60800</v>
      </c>
      <c r="O9" s="123">
        <f>+'P&amp;L'!O10</f>
        <v>60800</v>
      </c>
      <c r="P9" s="123">
        <f>+'P&amp;L'!P10</f>
        <v>60800</v>
      </c>
      <c r="Q9" s="123">
        <f>+'P&amp;L'!Q10</f>
        <v>60800</v>
      </c>
      <c r="R9" s="123">
        <f>+'P&amp;L'!R10</f>
        <v>60800</v>
      </c>
      <c r="S9" s="123">
        <f>+'P&amp;L'!S10</f>
        <v>60800</v>
      </c>
      <c r="T9" s="123">
        <f>+'P&amp;L'!T10</f>
        <v>60800</v>
      </c>
      <c r="U9" s="123">
        <f>+'P&amp;L'!U10</f>
        <v>60800</v>
      </c>
      <c r="V9" s="123">
        <f>+'P&amp;L'!V10</f>
        <v>60800</v>
      </c>
      <c r="W9" s="123">
        <f>+'P&amp;L'!W10</f>
        <v>60800</v>
      </c>
    </row>
    <row r="10" spans="2:23" x14ac:dyDescent="0.2">
      <c r="C10" s="3"/>
    </row>
    <row r="11" spans="2:23" x14ac:dyDescent="0.2">
      <c r="B11" s="44" t="s">
        <v>167</v>
      </c>
      <c r="C11" s="9" t="s">
        <v>397</v>
      </c>
      <c r="D11" s="6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2:23" x14ac:dyDescent="0.2">
      <c r="B12" s="27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">
      <c r="B13" s="2" t="s">
        <v>144</v>
      </c>
      <c r="D13" s="83">
        <f>+Finance!D57</f>
        <v>0</v>
      </c>
      <c r="E13" s="83">
        <f>+Finance!E57</f>
        <v>0</v>
      </c>
      <c r="F13" s="83">
        <f>+Finance!F57</f>
        <v>0</v>
      </c>
      <c r="G13" s="83">
        <f>+Finance!G57</f>
        <v>0</v>
      </c>
      <c r="H13" s="83">
        <f>+Finance!H57</f>
        <v>0</v>
      </c>
      <c r="I13" s="83">
        <f>+Finance!I57</f>
        <v>0</v>
      </c>
      <c r="J13" s="83">
        <f>+Finance!J57</f>
        <v>0</v>
      </c>
      <c r="K13" s="83">
        <f>+Finance!K57</f>
        <v>0</v>
      </c>
      <c r="L13" s="83">
        <f>+Finance!L57</f>
        <v>0</v>
      </c>
      <c r="M13" s="83">
        <f>+Finance!M57</f>
        <v>0</v>
      </c>
      <c r="N13" s="83">
        <f>+Finance!N57</f>
        <v>0</v>
      </c>
      <c r="O13" s="83">
        <f>+Finance!O57</f>
        <v>0</v>
      </c>
      <c r="P13" s="83">
        <f>+Finance!P57</f>
        <v>0</v>
      </c>
      <c r="Q13" s="83">
        <f>+Finance!Q57</f>
        <v>0</v>
      </c>
      <c r="R13" s="83">
        <f>+Finance!R57</f>
        <v>0</v>
      </c>
      <c r="S13" s="83">
        <f>+Finance!S57</f>
        <v>0</v>
      </c>
      <c r="T13" s="83">
        <f>+Finance!T57</f>
        <v>0</v>
      </c>
      <c r="U13" s="83">
        <f>+Finance!U57</f>
        <v>0</v>
      </c>
      <c r="V13" s="83">
        <f>+Finance!V57</f>
        <v>0</v>
      </c>
      <c r="W13" s="83">
        <f>+Finance!W57</f>
        <v>0</v>
      </c>
    </row>
    <row r="14" spans="2:23" x14ac:dyDescent="0.2">
      <c r="B14" s="2" t="s">
        <v>145</v>
      </c>
      <c r="D14" s="83">
        <f>+Finance!D70+Finance!D83</f>
        <v>0</v>
      </c>
      <c r="E14" s="83">
        <f>+Finance!E70+Finance!E83</f>
        <v>0</v>
      </c>
      <c r="F14" s="83">
        <f>+Finance!F70+Finance!F83</f>
        <v>0</v>
      </c>
      <c r="G14" s="83">
        <f>+Finance!G70+Finance!G83</f>
        <v>0</v>
      </c>
      <c r="H14" s="83">
        <f>+Finance!H70+Finance!H83</f>
        <v>0</v>
      </c>
      <c r="I14" s="83">
        <f>+Finance!I70+Finance!I83</f>
        <v>0</v>
      </c>
      <c r="J14" s="83">
        <f>+Finance!J70+Finance!J83</f>
        <v>0</v>
      </c>
      <c r="K14" s="83">
        <f>+Finance!K70+Finance!K83</f>
        <v>0</v>
      </c>
      <c r="L14" s="83">
        <f>+Finance!L70+Finance!L83</f>
        <v>0</v>
      </c>
      <c r="M14" s="83">
        <f>+Finance!M70+Finance!M83</f>
        <v>0</v>
      </c>
      <c r="N14" s="83">
        <f>+Finance!N70+Finance!N83</f>
        <v>0</v>
      </c>
      <c r="O14" s="83">
        <f>+Finance!O70+Finance!O83</f>
        <v>0</v>
      </c>
      <c r="P14" s="83">
        <f>+Finance!P70+Finance!P83</f>
        <v>0</v>
      </c>
      <c r="Q14" s="83">
        <f>+Finance!Q70+Finance!Q83</f>
        <v>0</v>
      </c>
      <c r="R14" s="83">
        <f>+Finance!R70+Finance!R83</f>
        <v>0</v>
      </c>
      <c r="S14" s="83">
        <f>+Finance!S70+Finance!S83</f>
        <v>0</v>
      </c>
      <c r="T14" s="83">
        <f>+Finance!T70+Finance!T83</f>
        <v>0</v>
      </c>
      <c r="U14" s="83">
        <f>+Finance!U70+Finance!U83</f>
        <v>0</v>
      </c>
      <c r="V14" s="83">
        <f>+Finance!V70+Finance!V83</f>
        <v>0</v>
      </c>
      <c r="W14" s="83">
        <f>+Finance!W70+Finance!W83</f>
        <v>0</v>
      </c>
    </row>
    <row r="15" spans="2:23" x14ac:dyDescent="0.2">
      <c r="B15" s="27" t="s">
        <v>220</v>
      </c>
      <c r="D15" s="62">
        <f>+Finance!D97</f>
        <v>0</v>
      </c>
      <c r="E15" s="62">
        <f>+Finance!E97</f>
        <v>9802750.1850946415</v>
      </c>
      <c r="F15" s="62">
        <f>+Finance!F97</f>
        <v>11911546.654814059</v>
      </c>
      <c r="G15" s="62">
        <f>+Finance!G97</f>
        <v>13193534.735867182</v>
      </c>
      <c r="H15" s="62">
        <f>+Finance!H97</f>
        <v>13897406.650436457</v>
      </c>
      <c r="I15" s="62">
        <f>+Finance!I97</f>
        <v>13064596.389174964</v>
      </c>
      <c r="J15" s="62">
        <f>+Finance!J97</f>
        <v>12231786.127913471</v>
      </c>
      <c r="K15" s="62">
        <f>+Finance!K97</f>
        <v>11398975.866651978</v>
      </c>
      <c r="L15" s="62">
        <f>+Finance!L97</f>
        <v>10566165.605390485</v>
      </c>
      <c r="M15" s="62">
        <f>+Finance!M97</f>
        <v>9733355.3441289924</v>
      </c>
      <c r="N15" s="62">
        <f>+Finance!N97</f>
        <v>8900545.0828674994</v>
      </c>
      <c r="O15" s="62">
        <f>+Finance!O97</f>
        <v>8067734.8216060074</v>
      </c>
      <c r="P15" s="62">
        <f>+Finance!P97</f>
        <v>7234924.5603445154</v>
      </c>
      <c r="Q15" s="62">
        <f>+Finance!Q97</f>
        <v>6402114.2990830233</v>
      </c>
      <c r="R15" s="62">
        <f>+Finance!R97</f>
        <v>5569304.0378215313</v>
      </c>
      <c r="S15" s="62">
        <f>+Finance!S97</f>
        <v>4736493.7765600393</v>
      </c>
      <c r="T15" s="62">
        <f>+Finance!T97</f>
        <v>3903683.5152985472</v>
      </c>
      <c r="U15" s="62">
        <f>+Finance!U97</f>
        <v>3070873.2540370552</v>
      </c>
      <c r="V15" s="62">
        <f>+Finance!V97</f>
        <v>2238062.9927755632</v>
      </c>
      <c r="W15" s="62">
        <f>+Finance!W97</f>
        <v>1405252.7315140711</v>
      </c>
    </row>
    <row r="16" spans="2:23" x14ac:dyDescent="0.2">
      <c r="B16" s="27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2:23" x14ac:dyDescent="0.2">
      <c r="B17" s="27" t="s">
        <v>221</v>
      </c>
      <c r="D17" s="83">
        <f t="shared" ref="D17:W17" si="1">SUM(D13:D15)</f>
        <v>0</v>
      </c>
      <c r="E17" s="83">
        <f t="shared" si="1"/>
        <v>9802750.1850946415</v>
      </c>
      <c r="F17" s="83">
        <f t="shared" si="1"/>
        <v>11911546.654814059</v>
      </c>
      <c r="G17" s="83">
        <f t="shared" si="1"/>
        <v>13193534.735867182</v>
      </c>
      <c r="H17" s="83">
        <f t="shared" si="1"/>
        <v>13897406.650436457</v>
      </c>
      <c r="I17" s="83">
        <f t="shared" si="1"/>
        <v>13064596.389174964</v>
      </c>
      <c r="J17" s="83">
        <f t="shared" si="1"/>
        <v>12231786.127913471</v>
      </c>
      <c r="K17" s="83">
        <f t="shared" si="1"/>
        <v>11398975.866651978</v>
      </c>
      <c r="L17" s="83">
        <f t="shared" si="1"/>
        <v>10566165.605390485</v>
      </c>
      <c r="M17" s="83">
        <f t="shared" si="1"/>
        <v>9733355.3441289924</v>
      </c>
      <c r="N17" s="83">
        <f t="shared" si="1"/>
        <v>8900545.0828674994</v>
      </c>
      <c r="O17" s="83">
        <f t="shared" si="1"/>
        <v>8067734.8216060074</v>
      </c>
      <c r="P17" s="83">
        <f t="shared" si="1"/>
        <v>7234924.5603445154</v>
      </c>
      <c r="Q17" s="83">
        <f t="shared" si="1"/>
        <v>6402114.2990830233</v>
      </c>
      <c r="R17" s="83">
        <f t="shared" si="1"/>
        <v>5569304.0378215313</v>
      </c>
      <c r="S17" s="83">
        <f t="shared" si="1"/>
        <v>4736493.7765600393</v>
      </c>
      <c r="T17" s="83">
        <f t="shared" si="1"/>
        <v>3903683.5152985472</v>
      </c>
      <c r="U17" s="83">
        <f t="shared" si="1"/>
        <v>3070873.2540370552</v>
      </c>
      <c r="V17" s="83">
        <f t="shared" si="1"/>
        <v>2238062.9927755632</v>
      </c>
      <c r="W17" s="83">
        <f t="shared" si="1"/>
        <v>1405252.7315140711</v>
      </c>
    </row>
    <row r="18" spans="2:23" x14ac:dyDescent="0.2">
      <c r="B18" s="27"/>
    </row>
    <row r="19" spans="2:23" x14ac:dyDescent="0.2">
      <c r="B19" s="44" t="s">
        <v>206</v>
      </c>
      <c r="D19" s="83"/>
    </row>
    <row r="20" spans="2:23" x14ac:dyDescent="0.2">
      <c r="B20" s="27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2:23" x14ac:dyDescent="0.2">
      <c r="B21" s="15" t="s">
        <v>405</v>
      </c>
      <c r="D21" s="83">
        <f>-'CF &amp; WC'!D47</f>
        <v>0</v>
      </c>
      <c r="E21" s="83">
        <f>-'CF &amp; WC'!E47+D21</f>
        <v>0</v>
      </c>
      <c r="F21" s="123">
        <f>-'CF &amp; WC'!F47+E21</f>
        <v>0</v>
      </c>
      <c r="G21" s="123">
        <f>-'CF &amp; WC'!G47+F21</f>
        <v>0</v>
      </c>
      <c r="H21" s="123">
        <f>-'CF &amp; WC'!H47+G21</f>
        <v>0</v>
      </c>
      <c r="I21" s="123">
        <f>-'CF &amp; WC'!I47+H21</f>
        <v>0</v>
      </c>
      <c r="J21" s="123">
        <f>-'CF &amp; WC'!J47+I21</f>
        <v>0</v>
      </c>
      <c r="K21" s="123">
        <f>-'CF &amp; WC'!K47+J21</f>
        <v>0</v>
      </c>
      <c r="L21" s="123">
        <f>-'CF &amp; WC'!L47+K21</f>
        <v>0</v>
      </c>
      <c r="M21" s="123">
        <f>-'CF &amp; WC'!M47+L21</f>
        <v>0</v>
      </c>
      <c r="N21" s="123">
        <f>-'CF &amp; WC'!N47+M21</f>
        <v>0</v>
      </c>
      <c r="O21" s="123">
        <f>-'CF &amp; WC'!O47+N21</f>
        <v>0</v>
      </c>
      <c r="P21" s="123">
        <f>-'CF &amp; WC'!P47+O21</f>
        <v>0</v>
      </c>
      <c r="Q21" s="123">
        <f>-'CF &amp; WC'!Q47+P21</f>
        <v>0</v>
      </c>
      <c r="R21" s="123">
        <f>-'CF &amp; WC'!R47+Q21</f>
        <v>0</v>
      </c>
      <c r="S21" s="123">
        <f>-'CF &amp; WC'!S47+R21</f>
        <v>0</v>
      </c>
      <c r="T21" s="123">
        <f>-'CF &amp; WC'!T47+S21</f>
        <v>0</v>
      </c>
      <c r="U21" s="123">
        <f>-'CF &amp; WC'!U47+T21</f>
        <v>0</v>
      </c>
      <c r="V21" s="123">
        <f>-'CF &amp; WC'!V47+U21</f>
        <v>0</v>
      </c>
      <c r="W21" s="123">
        <f>-'CF &amp; WC'!W47+V21</f>
        <v>0</v>
      </c>
    </row>
    <row r="22" spans="2:23" x14ac:dyDescent="0.2">
      <c r="B22" s="15" t="s">
        <v>204</v>
      </c>
      <c r="D22" s="83">
        <f>-'CF &amp; WC'!D48</f>
        <v>0</v>
      </c>
      <c r="E22" s="83">
        <f>-'CF &amp; WC'!E48+D22</f>
        <v>0</v>
      </c>
      <c r="F22" s="123">
        <f>-'CF &amp; WC'!F48+E22</f>
        <v>0</v>
      </c>
      <c r="G22" s="123">
        <f>-'CF &amp; WC'!G48+F22</f>
        <v>0</v>
      </c>
      <c r="H22" s="123">
        <f>-'CF &amp; WC'!H48+G22</f>
        <v>0</v>
      </c>
      <c r="I22" s="123">
        <f>-'CF &amp; WC'!I48+H22</f>
        <v>0</v>
      </c>
      <c r="J22" s="123">
        <f>-'CF &amp; WC'!J48+I22</f>
        <v>0</v>
      </c>
      <c r="K22" s="123">
        <f>-'CF &amp; WC'!K48+J22</f>
        <v>0</v>
      </c>
      <c r="L22" s="123">
        <f>-'CF &amp; WC'!L48+K22</f>
        <v>0</v>
      </c>
      <c r="M22" s="123">
        <f>-'CF &amp; WC'!M48+L22</f>
        <v>0</v>
      </c>
      <c r="N22" s="123">
        <f>-'CF &amp; WC'!N48+M22</f>
        <v>0</v>
      </c>
      <c r="O22" s="123">
        <f>-'CF &amp; WC'!O48+N22</f>
        <v>0</v>
      </c>
      <c r="P22" s="123">
        <f>-'CF &amp; WC'!P48+O22</f>
        <v>0</v>
      </c>
      <c r="Q22" s="123">
        <f>-'CF &amp; WC'!Q48+P22</f>
        <v>0</v>
      </c>
      <c r="R22" s="123">
        <f>-'CF &amp; WC'!R48+Q22</f>
        <v>0</v>
      </c>
      <c r="S22" s="123">
        <f>-'CF &amp; WC'!S48+R22</f>
        <v>0</v>
      </c>
      <c r="T22" s="123">
        <f>-'CF &amp; WC'!T48+S22</f>
        <v>0</v>
      </c>
      <c r="U22" s="123">
        <f>-'CF &amp; WC'!U48+T22</f>
        <v>0</v>
      </c>
      <c r="V22" s="123">
        <f>-'CF &amp; WC'!V48+U22</f>
        <v>0</v>
      </c>
      <c r="W22" s="123">
        <f>-'CF &amp; WC'!W48+V22</f>
        <v>0</v>
      </c>
    </row>
    <row r="23" spans="2:23" x14ac:dyDescent="0.2">
      <c r="B23" s="27" t="s">
        <v>207</v>
      </c>
      <c r="D23" s="83">
        <f>-'CF &amp; WC'!D50</f>
        <v>0</v>
      </c>
      <c r="E23" s="83">
        <f>-'CF &amp; WC'!E50+D23</f>
        <v>0</v>
      </c>
      <c r="F23" s="123">
        <f ca="1">-'CF &amp; WC'!F50+E23</f>
        <v>0</v>
      </c>
      <c r="G23" s="123">
        <f ca="1">-'CF &amp; WC'!G50+F23</f>
        <v>0</v>
      </c>
      <c r="H23" s="123">
        <f ca="1">-'CF &amp; WC'!H50+G23</f>
        <v>0</v>
      </c>
      <c r="I23" s="123">
        <f ca="1">-'CF &amp; WC'!I50+H23</f>
        <v>0</v>
      </c>
      <c r="J23" s="123">
        <f ca="1">-'CF &amp; WC'!J50+I23</f>
        <v>0</v>
      </c>
      <c r="K23" s="123">
        <f ca="1">-'CF &amp; WC'!K50+J23</f>
        <v>0</v>
      </c>
      <c r="L23" s="123">
        <f ca="1">-'CF &amp; WC'!L50+K23</f>
        <v>0</v>
      </c>
      <c r="M23" s="123">
        <f ca="1">-'CF &amp; WC'!M50+L23</f>
        <v>0</v>
      </c>
      <c r="N23" s="123">
        <f ca="1">-'CF &amp; WC'!N50+M23</f>
        <v>0</v>
      </c>
      <c r="O23" s="123">
        <f ca="1">-'CF &amp; WC'!O50+N23</f>
        <v>0</v>
      </c>
      <c r="P23" s="123">
        <f ca="1">-'CF &amp; WC'!P50+O23</f>
        <v>0</v>
      </c>
      <c r="Q23" s="123">
        <f ca="1">-'CF &amp; WC'!Q50+P23</f>
        <v>0</v>
      </c>
      <c r="R23" s="123">
        <f ca="1">-'CF &amp; WC'!R50+Q23</f>
        <v>0</v>
      </c>
      <c r="S23" s="123">
        <f ca="1">-'CF &amp; WC'!S50+R23</f>
        <v>0</v>
      </c>
      <c r="T23" s="123">
        <f ca="1">-'CF &amp; WC'!T50+S23</f>
        <v>0</v>
      </c>
      <c r="U23" s="123">
        <f ca="1">-'CF &amp; WC'!U50+T23</f>
        <v>0</v>
      </c>
      <c r="V23" s="123">
        <f ca="1">-'CF &amp; WC'!V50+U23</f>
        <v>0</v>
      </c>
      <c r="W23" s="123">
        <f ca="1">-'CF &amp; WC'!W50+V23</f>
        <v>0</v>
      </c>
    </row>
    <row r="24" spans="2:23" x14ac:dyDescent="0.2">
      <c r="B24" s="27" t="s">
        <v>250</v>
      </c>
      <c r="D24" s="83">
        <f>+'CF &amp; WC'!D43</f>
        <v>0</v>
      </c>
      <c r="E24" s="83">
        <f>+'CF &amp; WC'!E43</f>
        <v>0.15410094149410725</v>
      </c>
      <c r="F24" s="83">
        <f ca="1">+'CF &amp; WC'!F43</f>
        <v>0.30253640422597528</v>
      </c>
      <c r="G24" s="83">
        <f ca="1">+'CF &amp; WC'!G43</f>
        <v>-0.35433897981420159</v>
      </c>
      <c r="H24" s="83">
        <f ca="1">+'CF &amp; WC'!H43</f>
        <v>0.11891384096816182</v>
      </c>
      <c r="I24" s="83">
        <f ca="1">+'CF &amp; WC'!I43</f>
        <v>0.44634614954702556</v>
      </c>
      <c r="J24" s="83">
        <f ca="1">+'CF &amp; WC'!J43</f>
        <v>0.37377845798619092</v>
      </c>
      <c r="K24" s="83">
        <f ca="1">+'CF &amp; WC'!K43</f>
        <v>-0.49878923338837922</v>
      </c>
      <c r="L24" s="83">
        <f ca="1">+'CF &amp; WC'!L43</f>
        <v>190663.02864307514</v>
      </c>
      <c r="M24" s="83">
        <f ca="1">+'CF &amp; WC'!M43</f>
        <v>699485.95607538358</v>
      </c>
      <c r="N24" s="83">
        <f ca="1">+'CF &amp; WC'!N43</f>
        <v>1304407.0835076922</v>
      </c>
      <c r="O24" s="83">
        <f ca="1">+'CF &amp; WC'!O43</f>
        <v>1915152.3442733332</v>
      </c>
      <c r="P24" s="83">
        <f ca="1">+'CF &amp; WC'!P43</f>
        <v>2555018.2717056414</v>
      </c>
      <c r="Q24" s="83">
        <f ca="1">+'CF &amp; WC'!Q43</f>
        <v>3171587.6658046162</v>
      </c>
      <c r="R24" s="83">
        <f ca="1">+'CF &amp; WC'!R43</f>
        <v>3745932.0932369246</v>
      </c>
      <c r="S24" s="83">
        <f ca="1">+'CF &amp; WC'!S43</f>
        <v>4303574.9618457034</v>
      </c>
      <c r="T24" s="83">
        <f ca="1">+'CF &amp; WC'!T43</f>
        <v>4846372.0003891224</v>
      </c>
      <c r="U24" s="83">
        <f ca="1">+'CF &amp; WC'!U43</f>
        <v>5339101.9278214313</v>
      </c>
      <c r="V24" s="83">
        <f ca="1">+'CF &amp; WC'!V43</f>
        <v>5839188.65525374</v>
      </c>
      <c r="W24" s="83">
        <f ca="1">+'CF &amp; WC'!W43</f>
        <v>6853230.5927851563</v>
      </c>
    </row>
    <row r="25" spans="2:23" x14ac:dyDescent="0.2">
      <c r="B25" s="27"/>
    </row>
    <row r="26" spans="2:23" x14ac:dyDescent="0.2">
      <c r="B26" s="27" t="s">
        <v>208</v>
      </c>
      <c r="D26" s="83">
        <f>SUM(D21:D24)</f>
        <v>0</v>
      </c>
      <c r="E26" s="83">
        <f t="shared" ref="E26:W26" si="2">SUM(E21:E24)</f>
        <v>0.15410094149410725</v>
      </c>
      <c r="F26" s="83">
        <f t="shared" ca="1" si="2"/>
        <v>0.30253640422597528</v>
      </c>
      <c r="G26" s="83">
        <f t="shared" ca="1" si="2"/>
        <v>-0.35433897981420159</v>
      </c>
      <c r="H26" s="83">
        <f t="shared" ca="1" si="2"/>
        <v>0.11891384096816182</v>
      </c>
      <c r="I26" s="83">
        <f t="shared" ca="1" si="2"/>
        <v>0.44634614954702556</v>
      </c>
      <c r="J26" s="83">
        <f t="shared" ca="1" si="2"/>
        <v>0.37377845798619092</v>
      </c>
      <c r="K26" s="83">
        <f t="shared" ca="1" si="2"/>
        <v>-0.49878923338837922</v>
      </c>
      <c r="L26" s="83">
        <f t="shared" ca="1" si="2"/>
        <v>190663.02864307514</v>
      </c>
      <c r="M26" s="83">
        <f t="shared" ca="1" si="2"/>
        <v>699485.95607538358</v>
      </c>
      <c r="N26" s="83">
        <f t="shared" ca="1" si="2"/>
        <v>1304407.0835076922</v>
      </c>
      <c r="O26" s="83">
        <f t="shared" ca="1" si="2"/>
        <v>1915152.3442733332</v>
      </c>
      <c r="P26" s="83">
        <f t="shared" ca="1" si="2"/>
        <v>2555018.2717056414</v>
      </c>
      <c r="Q26" s="83">
        <f t="shared" ca="1" si="2"/>
        <v>3171587.6658046162</v>
      </c>
      <c r="R26" s="83">
        <f t="shared" ca="1" si="2"/>
        <v>3745932.0932369246</v>
      </c>
      <c r="S26" s="83">
        <f t="shared" ca="1" si="2"/>
        <v>4303574.9618457034</v>
      </c>
      <c r="T26" s="83">
        <f t="shared" ca="1" si="2"/>
        <v>4846372.0003891224</v>
      </c>
      <c r="U26" s="83">
        <f t="shared" ca="1" si="2"/>
        <v>5339101.9278214313</v>
      </c>
      <c r="V26" s="83">
        <f t="shared" ca="1" si="2"/>
        <v>5839188.65525374</v>
      </c>
      <c r="W26" s="83">
        <f t="shared" ca="1" si="2"/>
        <v>6853230.5927851563</v>
      </c>
    </row>
    <row r="27" spans="2:23" x14ac:dyDescent="0.2">
      <c r="B27" s="27"/>
    </row>
    <row r="28" spans="2:23" x14ac:dyDescent="0.2">
      <c r="B28" s="27" t="s">
        <v>209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2:23" x14ac:dyDescent="0.2">
      <c r="B29" s="27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2:23" x14ac:dyDescent="0.2">
      <c r="B30" s="27" t="s">
        <v>210</v>
      </c>
      <c r="D30" s="83">
        <f>+'CF &amp; WC'!D56</f>
        <v>0</v>
      </c>
      <c r="E30" s="83">
        <f>+'CF &amp; WC'!E56+D30</f>
        <v>0</v>
      </c>
      <c r="F30" s="83">
        <f>+'CF &amp; WC'!F56+E30</f>
        <v>0</v>
      </c>
      <c r="G30" s="83">
        <f>+'CF &amp; WC'!G56+F30</f>
        <v>0</v>
      </c>
      <c r="H30" s="83">
        <f>+'CF &amp; WC'!H56+G30</f>
        <v>0</v>
      </c>
      <c r="I30" s="83">
        <f>+'CF &amp; WC'!I56+H30</f>
        <v>0</v>
      </c>
      <c r="J30" s="83">
        <f>+'CF &amp; WC'!J56+I30</f>
        <v>0</v>
      </c>
      <c r="K30" s="83">
        <f>+'CF &amp; WC'!K56+J30</f>
        <v>0</v>
      </c>
      <c r="L30" s="83">
        <f>+'CF &amp; WC'!L56+K30</f>
        <v>0</v>
      </c>
      <c r="M30" s="83">
        <f>+'CF &amp; WC'!M56+L30</f>
        <v>0</v>
      </c>
      <c r="N30" s="83">
        <f>+'CF &amp; WC'!N56+M30</f>
        <v>0</v>
      </c>
      <c r="O30" s="83">
        <f>+'CF &amp; WC'!O56+N30</f>
        <v>0</v>
      </c>
      <c r="P30" s="83">
        <f>+'CF &amp; WC'!P56+O30</f>
        <v>0</v>
      </c>
      <c r="Q30" s="83">
        <f>+'CF &amp; WC'!Q56+P30</f>
        <v>0</v>
      </c>
      <c r="R30" s="83">
        <f>+'CF &amp; WC'!R56+Q30</f>
        <v>0</v>
      </c>
      <c r="S30" s="83">
        <f>+'CF &amp; WC'!S56+R30</f>
        <v>0</v>
      </c>
      <c r="T30" s="83">
        <f>+'CF &amp; WC'!T56+S30</f>
        <v>0</v>
      </c>
      <c r="U30" s="83">
        <f>+'CF &amp; WC'!U56+T30</f>
        <v>0</v>
      </c>
      <c r="V30" s="83">
        <f>+'CF &amp; WC'!V56+U30</f>
        <v>0</v>
      </c>
      <c r="W30" s="83">
        <f>+'CF &amp; WC'!W56+V30</f>
        <v>0</v>
      </c>
    </row>
    <row r="31" spans="2:23" x14ac:dyDescent="0.2">
      <c r="B31" s="27" t="s">
        <v>211</v>
      </c>
      <c r="D31" s="2">
        <f>+'P&amp;L'!D41</f>
        <v>0</v>
      </c>
      <c r="E31" s="83">
        <f ca="1">+'P&amp;L'!E41</f>
        <v>0</v>
      </c>
      <c r="F31" s="83">
        <f ca="1">+'P&amp;L'!F41</f>
        <v>0</v>
      </c>
      <c r="G31" s="83">
        <f ca="1">+'P&amp;L'!G41</f>
        <v>0</v>
      </c>
      <c r="H31" s="83">
        <f ca="1">+'P&amp;L'!H41</f>
        <v>0</v>
      </c>
      <c r="I31" s="83">
        <f ca="1">+'P&amp;L'!I41</f>
        <v>0</v>
      </c>
      <c r="J31" s="83">
        <f ca="1">+'P&amp;L'!J41</f>
        <v>0</v>
      </c>
      <c r="K31" s="83">
        <f ca="1">+'P&amp;L'!K41</f>
        <v>0</v>
      </c>
      <c r="L31" s="83">
        <f ca="1">+'P&amp;L'!L41</f>
        <v>0</v>
      </c>
      <c r="M31" s="83">
        <f ca="1">+'P&amp;L'!M41</f>
        <v>0</v>
      </c>
      <c r="N31" s="83">
        <f ca="1">+'P&amp;L'!N41</f>
        <v>0</v>
      </c>
      <c r="O31" s="83">
        <f ca="1">+'P&amp;L'!O41</f>
        <v>0</v>
      </c>
      <c r="P31" s="83">
        <f ca="1">+'P&amp;L'!P41</f>
        <v>0</v>
      </c>
      <c r="Q31" s="83">
        <f ca="1">+'P&amp;L'!Q41</f>
        <v>0</v>
      </c>
      <c r="R31" s="83">
        <f ca="1">+'P&amp;L'!R41</f>
        <v>0</v>
      </c>
      <c r="S31" s="83">
        <f ca="1">+'P&amp;L'!S41</f>
        <v>0</v>
      </c>
      <c r="T31" s="83">
        <f ca="1">+'P&amp;L'!T41</f>
        <v>0</v>
      </c>
      <c r="U31" s="83">
        <f ca="1">+'P&amp;L'!U41</f>
        <v>0</v>
      </c>
      <c r="V31" s="83">
        <f ca="1">+'P&amp;L'!V41</f>
        <v>0</v>
      </c>
      <c r="W31" s="83">
        <f ca="1">+'P&amp;L'!W41</f>
        <v>0</v>
      </c>
    </row>
    <row r="32" spans="2:23" x14ac:dyDescent="0.2">
      <c r="B32" s="27"/>
    </row>
    <row r="33" spans="2:23" x14ac:dyDescent="0.2">
      <c r="B33" s="27" t="s">
        <v>212</v>
      </c>
      <c r="D33" s="83">
        <f t="shared" ref="D33:W33" si="3">SUM(D30:D31)</f>
        <v>0</v>
      </c>
      <c r="E33" s="83">
        <f t="shared" ca="1" si="3"/>
        <v>0</v>
      </c>
      <c r="F33" s="83">
        <f t="shared" ca="1" si="3"/>
        <v>0</v>
      </c>
      <c r="G33" s="83">
        <f t="shared" ca="1" si="3"/>
        <v>0</v>
      </c>
      <c r="H33" s="83">
        <f t="shared" ca="1" si="3"/>
        <v>0</v>
      </c>
      <c r="I33" s="83">
        <f t="shared" ca="1" si="3"/>
        <v>0</v>
      </c>
      <c r="J33" s="83">
        <f t="shared" ca="1" si="3"/>
        <v>0</v>
      </c>
      <c r="K33" s="83">
        <f t="shared" ca="1" si="3"/>
        <v>0</v>
      </c>
      <c r="L33" s="83">
        <f t="shared" ca="1" si="3"/>
        <v>0</v>
      </c>
      <c r="M33" s="83">
        <f t="shared" ca="1" si="3"/>
        <v>0</v>
      </c>
      <c r="N33" s="83">
        <f t="shared" ca="1" si="3"/>
        <v>0</v>
      </c>
      <c r="O33" s="83">
        <f t="shared" ca="1" si="3"/>
        <v>0</v>
      </c>
      <c r="P33" s="83">
        <f t="shared" ca="1" si="3"/>
        <v>0</v>
      </c>
      <c r="Q33" s="83">
        <f t="shared" ca="1" si="3"/>
        <v>0</v>
      </c>
      <c r="R33" s="83">
        <f t="shared" ca="1" si="3"/>
        <v>0</v>
      </c>
      <c r="S33" s="83">
        <f t="shared" ca="1" si="3"/>
        <v>0</v>
      </c>
      <c r="T33" s="83">
        <f t="shared" ca="1" si="3"/>
        <v>0</v>
      </c>
      <c r="U33" s="83">
        <f t="shared" ca="1" si="3"/>
        <v>0</v>
      </c>
      <c r="V33" s="83">
        <f t="shared" ca="1" si="3"/>
        <v>0</v>
      </c>
      <c r="W33" s="83">
        <f t="shared" ca="1" si="3"/>
        <v>0</v>
      </c>
    </row>
    <row r="34" spans="2:23" x14ac:dyDescent="0.2">
      <c r="B34" s="27"/>
    </row>
    <row r="35" spans="2:23" x14ac:dyDescent="0.2">
      <c r="B35" s="44" t="s">
        <v>213</v>
      </c>
      <c r="C35" s="41"/>
      <c r="D35" s="42">
        <f t="shared" ref="D35:W35" si="4">+D26-D33</f>
        <v>0</v>
      </c>
      <c r="E35" s="42">
        <f t="shared" ca="1" si="4"/>
        <v>0.15410094149410725</v>
      </c>
      <c r="F35" s="42">
        <f t="shared" ca="1" si="4"/>
        <v>0.30253640422597528</v>
      </c>
      <c r="G35" s="42">
        <f t="shared" ca="1" si="4"/>
        <v>-0.35433897981420159</v>
      </c>
      <c r="H35" s="42">
        <f t="shared" ca="1" si="4"/>
        <v>0.11891384096816182</v>
      </c>
      <c r="I35" s="42">
        <f t="shared" ca="1" si="4"/>
        <v>0.44634614954702556</v>
      </c>
      <c r="J35" s="42">
        <f t="shared" ca="1" si="4"/>
        <v>0.37377845798619092</v>
      </c>
      <c r="K35" s="42">
        <f t="shared" ca="1" si="4"/>
        <v>-0.49878923338837922</v>
      </c>
      <c r="L35" s="42">
        <f t="shared" ca="1" si="4"/>
        <v>190663.02864307514</v>
      </c>
      <c r="M35" s="42">
        <f t="shared" ca="1" si="4"/>
        <v>699485.95607538358</v>
      </c>
      <c r="N35" s="42">
        <f t="shared" ca="1" si="4"/>
        <v>1304407.0835076922</v>
      </c>
      <c r="O35" s="42">
        <f t="shared" ca="1" si="4"/>
        <v>1915152.3442733332</v>
      </c>
      <c r="P35" s="42">
        <f t="shared" ca="1" si="4"/>
        <v>2555018.2717056414</v>
      </c>
      <c r="Q35" s="42">
        <f t="shared" ca="1" si="4"/>
        <v>3171587.6658046162</v>
      </c>
      <c r="R35" s="42">
        <f t="shared" ca="1" si="4"/>
        <v>3745932.0932369246</v>
      </c>
      <c r="S35" s="42">
        <f t="shared" ca="1" si="4"/>
        <v>4303574.9618457034</v>
      </c>
      <c r="T35" s="42">
        <f t="shared" ca="1" si="4"/>
        <v>4846372.0003891224</v>
      </c>
      <c r="U35" s="42">
        <f t="shared" ca="1" si="4"/>
        <v>5339101.9278214313</v>
      </c>
      <c r="V35" s="42">
        <f t="shared" ca="1" si="4"/>
        <v>5839188.65525374</v>
      </c>
      <c r="W35" s="42">
        <f t="shared" ca="1" si="4"/>
        <v>6853230.5927851563</v>
      </c>
    </row>
    <row r="36" spans="2:23" x14ac:dyDescent="0.2">
      <c r="B36" s="27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2:23" x14ac:dyDescent="0.2">
      <c r="B37" s="27" t="s">
        <v>214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2:23" x14ac:dyDescent="0.2">
      <c r="B38" s="27"/>
    </row>
    <row r="39" spans="2:23" x14ac:dyDescent="0.2">
      <c r="B39" s="44" t="s">
        <v>215</v>
      </c>
      <c r="C39" s="41"/>
      <c r="D39" s="42">
        <f t="shared" ref="D39:W39" si="5">+D17+D35</f>
        <v>0</v>
      </c>
      <c r="E39" s="42">
        <f t="shared" ca="1" si="5"/>
        <v>9802750.339195583</v>
      </c>
      <c r="F39" s="42">
        <f t="shared" ca="1" si="5"/>
        <v>11911546.957350463</v>
      </c>
      <c r="G39" s="42">
        <f t="shared" ca="1" si="5"/>
        <v>13193534.381528202</v>
      </c>
      <c r="H39" s="42">
        <f t="shared" ca="1" si="5"/>
        <v>13897406.769350298</v>
      </c>
      <c r="I39" s="42">
        <f t="shared" ca="1" si="5"/>
        <v>13064596.835521113</v>
      </c>
      <c r="J39" s="42">
        <f t="shared" ca="1" si="5"/>
        <v>12231786.50169193</v>
      </c>
      <c r="K39" s="42">
        <f t="shared" ca="1" si="5"/>
        <v>11398975.367862744</v>
      </c>
      <c r="L39" s="42">
        <f t="shared" ca="1" si="5"/>
        <v>10756828.634033561</v>
      </c>
      <c r="M39" s="42">
        <f t="shared" ca="1" si="5"/>
        <v>10432841.300204376</v>
      </c>
      <c r="N39" s="42">
        <f t="shared" ca="1" si="5"/>
        <v>10204952.166375192</v>
      </c>
      <c r="O39" s="42">
        <f t="shared" ca="1" si="5"/>
        <v>9982887.1658793408</v>
      </c>
      <c r="P39" s="42">
        <f t="shared" ca="1" si="5"/>
        <v>9789942.8320501558</v>
      </c>
      <c r="Q39" s="42">
        <f t="shared" ca="1" si="5"/>
        <v>9573701.9648876395</v>
      </c>
      <c r="R39" s="42">
        <f t="shared" ca="1" si="5"/>
        <v>9315236.1310584564</v>
      </c>
      <c r="S39" s="42">
        <f t="shared" ca="1" si="5"/>
        <v>9040068.7384057418</v>
      </c>
      <c r="T39" s="42">
        <f t="shared" ca="1" si="5"/>
        <v>8750055.5156876706</v>
      </c>
      <c r="U39" s="42">
        <f t="shared" ca="1" si="5"/>
        <v>8409975.1818584874</v>
      </c>
      <c r="V39" s="42">
        <f t="shared" ca="1" si="5"/>
        <v>8077251.6480293032</v>
      </c>
      <c r="W39" s="42">
        <f t="shared" ca="1" si="5"/>
        <v>8258483.3242992274</v>
      </c>
    </row>
    <row r="40" spans="2:23" x14ac:dyDescent="0.2">
      <c r="B40" s="27"/>
    </row>
    <row r="41" spans="2:23" x14ac:dyDescent="0.2">
      <c r="B41" s="27" t="s">
        <v>216</v>
      </c>
    </row>
    <row r="42" spans="2:23" x14ac:dyDescent="0.2">
      <c r="B42" s="27"/>
    </row>
    <row r="43" spans="2:23" x14ac:dyDescent="0.2">
      <c r="B43" s="27" t="s">
        <v>217</v>
      </c>
      <c r="D43" s="83">
        <f>+'CF &amp; WC'!D24</f>
        <v>0</v>
      </c>
      <c r="E43" s="83">
        <f>+'CF &amp; WC'!E24+D43</f>
        <v>0</v>
      </c>
      <c r="F43" s="83">
        <f>+'CF &amp; WC'!F24+E43</f>
        <v>0</v>
      </c>
      <c r="G43" s="83">
        <f>+'CF &amp; WC'!G24+F43</f>
        <v>0</v>
      </c>
      <c r="H43" s="83">
        <f>+'CF &amp; WC'!H24+G43</f>
        <v>0</v>
      </c>
      <c r="I43" s="83">
        <f>+'CF &amp; WC'!I24+H43</f>
        <v>0</v>
      </c>
      <c r="J43" s="83">
        <f>+'CF &amp; WC'!J24+I43</f>
        <v>0</v>
      </c>
      <c r="K43" s="83">
        <f>+'CF &amp; WC'!K24+J43</f>
        <v>0</v>
      </c>
      <c r="L43" s="83">
        <f>+'CF &amp; WC'!L24+K43</f>
        <v>0</v>
      </c>
      <c r="M43" s="83">
        <f>+'CF &amp; WC'!M24+L43</f>
        <v>0</v>
      </c>
      <c r="N43" s="83">
        <f>+'CF &amp; WC'!N24+M43</f>
        <v>0</v>
      </c>
      <c r="O43" s="83">
        <f>+'CF &amp; WC'!O24+N43</f>
        <v>0</v>
      </c>
      <c r="P43" s="83">
        <f>+'CF &amp; WC'!P24+O43</f>
        <v>0</v>
      </c>
      <c r="Q43" s="83">
        <f>+'CF &amp; WC'!Q24+P43</f>
        <v>0</v>
      </c>
      <c r="R43" s="83">
        <f>+'CF &amp; WC'!R24+Q43</f>
        <v>0</v>
      </c>
      <c r="S43" s="83">
        <f>+'CF &amp; WC'!S24+R43</f>
        <v>0</v>
      </c>
      <c r="T43" s="83">
        <f>+'CF &amp; WC'!T24+S43</f>
        <v>0</v>
      </c>
      <c r="U43" s="83">
        <f>+'CF &amp; WC'!U24+T43</f>
        <v>0</v>
      </c>
      <c r="V43" s="83">
        <f>+'CF &amp; WC'!V24+U43</f>
        <v>0</v>
      </c>
      <c r="W43" s="83">
        <f>+'CF &amp; WC'!W24+V43</f>
        <v>0</v>
      </c>
    </row>
    <row r="44" spans="2:23" x14ac:dyDescent="0.2">
      <c r="B44" s="27" t="s">
        <v>367</v>
      </c>
      <c r="D44" s="83">
        <f ca="1">+Finance!D20</f>
        <v>0</v>
      </c>
      <c r="E44" s="123">
        <f ca="1">+Finance!E20</f>
        <v>11350553</v>
      </c>
      <c r="F44" s="123">
        <f ca="1">+Finance!F20</f>
        <v>14730231.59</v>
      </c>
      <c r="G44" s="123">
        <f ca="1">+Finance!G20</f>
        <v>17413898.537700001</v>
      </c>
      <c r="H44" s="123">
        <f ca="1">+Finance!H20</f>
        <v>18840940.493831001</v>
      </c>
      <c r="I44" s="123">
        <f ca="1">+Finance!I20</f>
        <v>19761320.708645932</v>
      </c>
      <c r="J44" s="123">
        <f ca="1">+Finance!J20</f>
        <v>19705334.329905309</v>
      </c>
      <c r="K44" s="123">
        <f ca="1">+Finance!K20</f>
        <v>18867096.35980247</v>
      </c>
      <c r="L44" s="123">
        <f ca="1">+Finance!L20</f>
        <v>17686869.250596542</v>
      </c>
      <c r="M44" s="123">
        <f ca="1">+Finance!M20</f>
        <v>16265795.328114439</v>
      </c>
      <c r="N44" s="123">
        <f ca="1">+Finance!N20</f>
        <v>14802089.187957872</v>
      </c>
      <c r="O44" s="123">
        <f ca="1">+Finance!O20</f>
        <v>13294471.863596607</v>
      </c>
      <c r="P44" s="123">
        <f ca="1">+Finance!P20</f>
        <v>11741626.019504506</v>
      </c>
      <c r="Q44" s="123">
        <f ca="1">+Finance!Q20</f>
        <v>10142194.800089641</v>
      </c>
      <c r="R44" s="123">
        <f ca="1">+Finance!R20</f>
        <v>8494780.6440923288</v>
      </c>
      <c r="S44" s="123">
        <f ca="1">+Finance!S20</f>
        <v>6797944.0634150989</v>
      </c>
      <c r="T44" s="123">
        <f ca="1">+Finance!T20</f>
        <v>5050202.3853175519</v>
      </c>
      <c r="U44" s="123">
        <f ca="1">+Finance!U20</f>
        <v>3250028.4568770784</v>
      </c>
      <c r="V44" s="123">
        <f ca="1">+Finance!V20</f>
        <v>1395849.3105833908</v>
      </c>
      <c r="W44" s="123">
        <f ca="1">+Finance!W20</f>
        <v>6.5483618527650833E-11</v>
      </c>
    </row>
    <row r="45" spans="2:23" x14ac:dyDescent="0.2">
      <c r="B45" s="27" t="s">
        <v>218</v>
      </c>
      <c r="D45" s="123">
        <f ca="1">+'P&amp;L'!D48</f>
        <v>0</v>
      </c>
      <c r="E45" s="123">
        <f ca="1">+'P&amp;L'!E48+D45</f>
        <v>-1547802.6608044172</v>
      </c>
      <c r="F45" s="83">
        <f ca="1">+'P&amp;L'!F48+E45</f>
        <v>-2818684.6326495386</v>
      </c>
      <c r="G45" s="83">
        <f ca="1">+'P&amp;L'!G48+F45</f>
        <v>-4220364.1561717996</v>
      </c>
      <c r="H45" s="83">
        <f ca="1">+'P&amp;L'!H48+G45</f>
        <v>-4943533.7244807016</v>
      </c>
      <c r="I45" s="83">
        <f ca="1">+'P&amp;L'!I48+H45</f>
        <v>-6696723.8731248155</v>
      </c>
      <c r="J45" s="83">
        <f ca="1">+'P&amp;L'!J48+I45</f>
        <v>-7473547.8282133769</v>
      </c>
      <c r="K45" s="83">
        <f ca="1">+'P&amp;L'!K48+J45</f>
        <v>-7468120.9919397198</v>
      </c>
      <c r="L45" s="83">
        <f ca="1">+'P&amp;L'!L48+K45</f>
        <v>-6930040.6165629774</v>
      </c>
      <c r="M45" s="83">
        <f ca="1">+'P&amp;L'!M48+L45</f>
        <v>-5832954.0279100575</v>
      </c>
      <c r="N45" s="83">
        <f ca="1">+'P&amp;L'!N48+M45</f>
        <v>-4597137.0215826742</v>
      </c>
      <c r="O45" s="83">
        <f ca="1">+'P&amp;L'!O48+N45</f>
        <v>-3311584.697717261</v>
      </c>
      <c r="P45" s="83">
        <f ca="1">+'P&amp;L'!P48+O45</f>
        <v>-1951683.1874543428</v>
      </c>
      <c r="Q45" s="83">
        <f ca="1">+'P&amp;L'!Q48+P45</f>
        <v>-568492.83520199521</v>
      </c>
      <c r="R45" s="83">
        <f ca="1">+'P&amp;L'!R48+Q45</f>
        <v>820455.48696613195</v>
      </c>
      <c r="S45" s="83">
        <f ca="1">+'P&amp;L'!S48+R45</f>
        <v>2242124.6749906493</v>
      </c>
      <c r="T45" s="83">
        <f ca="1">+'P&amp;L'!T48+S45</f>
        <v>3699853.1303701233</v>
      </c>
      <c r="U45" s="83">
        <f ca="1">+'P&amp;L'!U48+T45</f>
        <v>5159946.7249814132</v>
      </c>
      <c r="V45" s="83">
        <f ca="1">+'P&amp;L'!V48+U45</f>
        <v>6681402.3374459175</v>
      </c>
      <c r="W45" s="83">
        <f ca="1">+'P&amp;L'!W48+V45</f>
        <v>8258483.3242992321</v>
      </c>
    </row>
    <row r="46" spans="2:23" x14ac:dyDescent="0.2">
      <c r="B46" s="27"/>
    </row>
    <row r="47" spans="2:23" s="1" customFormat="1" x14ac:dyDescent="0.2">
      <c r="B47" s="44" t="s">
        <v>219</v>
      </c>
      <c r="D47" s="74">
        <f t="shared" ref="D47:W47" ca="1" si="6">SUM(D43:D45)</f>
        <v>0</v>
      </c>
      <c r="E47" s="74">
        <f t="shared" ca="1" si="6"/>
        <v>9802750.339195583</v>
      </c>
      <c r="F47" s="74">
        <f t="shared" ca="1" si="6"/>
        <v>11911546.957350461</v>
      </c>
      <c r="G47" s="74">
        <f t="shared" ca="1" si="6"/>
        <v>13193534.381528202</v>
      </c>
      <c r="H47" s="74">
        <f t="shared" ca="1" si="6"/>
        <v>13897406.7693503</v>
      </c>
      <c r="I47" s="74">
        <f t="shared" ca="1" si="6"/>
        <v>13064596.835521117</v>
      </c>
      <c r="J47" s="74">
        <f t="shared" ca="1" si="6"/>
        <v>12231786.501691932</v>
      </c>
      <c r="K47" s="74">
        <f t="shared" ca="1" si="6"/>
        <v>11398975.36786275</v>
      </c>
      <c r="L47" s="74">
        <f t="shared" ca="1" si="6"/>
        <v>10756828.634033564</v>
      </c>
      <c r="M47" s="74">
        <f t="shared" ca="1" si="6"/>
        <v>10432841.300204381</v>
      </c>
      <c r="N47" s="74">
        <f t="shared" ca="1" si="6"/>
        <v>10204952.166375197</v>
      </c>
      <c r="O47" s="74">
        <f t="shared" ca="1" si="6"/>
        <v>9982887.1658793464</v>
      </c>
      <c r="P47" s="74">
        <f t="shared" ca="1" si="6"/>
        <v>9789942.8320501633</v>
      </c>
      <c r="Q47" s="74">
        <f t="shared" ca="1" si="6"/>
        <v>9573701.9648876451</v>
      </c>
      <c r="R47" s="74">
        <f t="shared" ca="1" si="6"/>
        <v>9315236.1310584601</v>
      </c>
      <c r="S47" s="74">
        <f t="shared" ca="1" si="6"/>
        <v>9040068.7384057492</v>
      </c>
      <c r="T47" s="74">
        <f t="shared" ca="1" si="6"/>
        <v>8750055.5156876743</v>
      </c>
      <c r="U47" s="74">
        <f t="shared" ca="1" si="6"/>
        <v>8409975.1818584912</v>
      </c>
      <c r="V47" s="74">
        <f t="shared" ca="1" si="6"/>
        <v>8077251.6480293088</v>
      </c>
      <c r="W47" s="74">
        <f t="shared" ca="1" si="6"/>
        <v>8258483.3242992321</v>
      </c>
    </row>
    <row r="48" spans="2:23" x14ac:dyDescent="0.2">
      <c r="B48" s="27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</row>
    <row r="49" spans="2:23" x14ac:dyDescent="0.2">
      <c r="B49" s="27"/>
      <c r="D49" s="83">
        <f t="shared" ref="D49:W49" ca="1" si="7">+D47-D39</f>
        <v>0</v>
      </c>
      <c r="E49" s="83">
        <f t="shared" ca="1" si="7"/>
        <v>0</v>
      </c>
      <c r="F49" s="83">
        <f t="shared" ca="1" si="7"/>
        <v>0</v>
      </c>
      <c r="G49" s="83">
        <f t="shared" ca="1" si="7"/>
        <v>0</v>
      </c>
      <c r="H49" s="83">
        <f t="shared" ca="1" si="7"/>
        <v>0</v>
      </c>
      <c r="I49" s="83">
        <f t="shared" ca="1" si="7"/>
        <v>0</v>
      </c>
      <c r="J49" s="83">
        <f t="shared" ca="1" si="7"/>
        <v>0</v>
      </c>
      <c r="K49" s="83">
        <f t="shared" ca="1" si="7"/>
        <v>0</v>
      </c>
      <c r="L49" s="83">
        <f t="shared" ca="1" si="7"/>
        <v>0</v>
      </c>
      <c r="M49" s="83">
        <f t="shared" ca="1" si="7"/>
        <v>0</v>
      </c>
      <c r="N49" s="83">
        <f t="shared" ca="1" si="7"/>
        <v>0</v>
      </c>
      <c r="O49" s="83">
        <f t="shared" ca="1" si="7"/>
        <v>0</v>
      </c>
      <c r="P49" s="83">
        <f t="shared" ca="1" si="7"/>
        <v>0</v>
      </c>
      <c r="Q49" s="83">
        <f t="shared" ca="1" si="7"/>
        <v>0</v>
      </c>
      <c r="R49" s="83">
        <f t="shared" ca="1" si="7"/>
        <v>0</v>
      </c>
      <c r="S49" s="83">
        <f t="shared" ca="1" si="7"/>
        <v>0</v>
      </c>
      <c r="T49" s="83">
        <f t="shared" ca="1" si="7"/>
        <v>0</v>
      </c>
      <c r="U49" s="83">
        <f t="shared" ca="1" si="7"/>
        <v>0</v>
      </c>
      <c r="V49" s="83">
        <f t="shared" ca="1" si="7"/>
        <v>0</v>
      </c>
      <c r="W49" s="83">
        <f t="shared" ca="1" si="7"/>
        <v>0</v>
      </c>
    </row>
    <row r="50" spans="2:23" x14ac:dyDescent="0.2">
      <c r="B50" s="27"/>
    </row>
    <row r="51" spans="2:23" x14ac:dyDescent="0.2">
      <c r="B51" s="27"/>
    </row>
    <row r="52" spans="2:23" x14ac:dyDescent="0.2">
      <c r="B52" s="27"/>
    </row>
    <row r="53" spans="2:23" x14ac:dyDescent="0.2">
      <c r="B53" s="27"/>
    </row>
    <row r="54" spans="2:23" x14ac:dyDescent="0.2">
      <c r="B54" s="27"/>
    </row>
    <row r="58" spans="2:23" x14ac:dyDescent="0.2"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</row>
    <row r="59" spans="2:23" x14ac:dyDescent="0.2"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</row>
    <row r="60" spans="2:23" x14ac:dyDescent="0.2"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</row>
    <row r="61" spans="2:23" x14ac:dyDescent="0.2"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2:23" x14ac:dyDescent="0.2"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</row>
    <row r="63" spans="2:23" x14ac:dyDescent="0.2"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</row>
    <row r="64" spans="2:23" x14ac:dyDescent="0.2"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</row>
    <row r="65" spans="4:23" x14ac:dyDescent="0.2"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</row>
    <row r="66" spans="4:23" x14ac:dyDescent="0.2"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</row>
    <row r="67" spans="4:23" x14ac:dyDescent="0.2"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</row>
    <row r="68" spans="4:23" x14ac:dyDescent="0.2"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</row>
    <row r="69" spans="4:23" x14ac:dyDescent="0.2"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</row>
    <row r="70" spans="4:23" x14ac:dyDescent="0.2"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</row>
    <row r="71" spans="4:23" x14ac:dyDescent="0.2"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</row>
    <row r="72" spans="4:23" x14ac:dyDescent="0.2"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</row>
    <row r="73" spans="4:23" x14ac:dyDescent="0.2"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</row>
    <row r="75" spans="4:23" x14ac:dyDescent="0.2"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</row>
    <row r="76" spans="4:23" x14ac:dyDescent="0.2"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</row>
    <row r="78" spans="4:23" x14ac:dyDescent="0.2"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</row>
    <row r="79" spans="4:23" x14ac:dyDescent="0.2"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</row>
    <row r="81" spans="4:4" x14ac:dyDescent="0.2">
      <c r="D81" s="4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W63"/>
  <sheetViews>
    <sheetView showGridLines="0" topLeftCell="B1" zoomScaleNormal="100" workbookViewId="0">
      <pane xSplit="1" ySplit="4" topLeftCell="C5" activePane="bottomRight" state="frozen"/>
      <selection activeCell="D34" sqref="D34"/>
      <selection pane="topRight" activeCell="D34" sqref="D34"/>
      <selection pane="bottomLeft" activeCell="D34" sqref="D34"/>
      <selection pane="bottomRight" activeCell="E18" sqref="E18"/>
    </sheetView>
  </sheetViews>
  <sheetFormatPr defaultRowHeight="12.75" x14ac:dyDescent="0.2"/>
  <cols>
    <col min="1" max="1" width="9.140625" style="2"/>
    <col min="2" max="2" width="40.42578125" style="2" customWidth="1"/>
    <col min="3" max="3" width="9.140625" style="2"/>
    <col min="4" max="23" width="15.7109375" style="2" customWidth="1"/>
    <col min="24" max="16384" width="9.140625" style="2"/>
  </cols>
  <sheetData>
    <row r="1" spans="2:23" ht="13.5" thickBot="1" x14ac:dyDescent="0.25"/>
    <row r="2" spans="2:23" ht="14.25" thickTop="1" thickBot="1" x14ac:dyDescent="0.25">
      <c r="B2" s="214" t="s">
        <v>468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2:23" ht="13.5" thickTop="1" x14ac:dyDescent="0.2"/>
    <row r="4" spans="2:23" x14ac:dyDescent="0.2">
      <c r="B4" s="41" t="s">
        <v>261</v>
      </c>
      <c r="D4" s="59">
        <v>2016</v>
      </c>
      <c r="E4" s="59">
        <f t="shared" ref="E4:W4" si="0">+D4+1</f>
        <v>2017</v>
      </c>
      <c r="F4" s="59">
        <f t="shared" si="0"/>
        <v>2018</v>
      </c>
      <c r="G4" s="59">
        <f t="shared" si="0"/>
        <v>2019</v>
      </c>
      <c r="H4" s="59">
        <f t="shared" si="0"/>
        <v>2020</v>
      </c>
      <c r="I4" s="59">
        <f t="shared" si="0"/>
        <v>2021</v>
      </c>
      <c r="J4" s="59">
        <f t="shared" si="0"/>
        <v>2022</v>
      </c>
      <c r="K4" s="59">
        <f t="shared" si="0"/>
        <v>2023</v>
      </c>
      <c r="L4" s="59">
        <f t="shared" si="0"/>
        <v>2024</v>
      </c>
      <c r="M4" s="59">
        <f t="shared" si="0"/>
        <v>2025</v>
      </c>
      <c r="N4" s="59">
        <f t="shared" si="0"/>
        <v>2026</v>
      </c>
      <c r="O4" s="59">
        <f t="shared" si="0"/>
        <v>2027</v>
      </c>
      <c r="P4" s="59">
        <f t="shared" si="0"/>
        <v>2028</v>
      </c>
      <c r="Q4" s="59">
        <f t="shared" si="0"/>
        <v>2029</v>
      </c>
      <c r="R4" s="59">
        <f t="shared" si="0"/>
        <v>2030</v>
      </c>
      <c r="S4" s="59">
        <f t="shared" si="0"/>
        <v>2031</v>
      </c>
      <c r="T4" s="59">
        <f t="shared" si="0"/>
        <v>2032</v>
      </c>
      <c r="U4" s="59">
        <f t="shared" si="0"/>
        <v>2033</v>
      </c>
      <c r="V4" s="59">
        <f t="shared" si="0"/>
        <v>2034</v>
      </c>
      <c r="W4" s="59">
        <f t="shared" si="0"/>
        <v>2035</v>
      </c>
    </row>
    <row r="5" spans="2:23" x14ac:dyDescent="0.2">
      <c r="B5" s="2" t="s">
        <v>116</v>
      </c>
      <c r="D5" s="82">
        <f>+'Total Revenue &amp; Costs'!D5</f>
        <v>1</v>
      </c>
      <c r="E5" s="82">
        <f>+'Total Revenue &amp; Costs'!E5</f>
        <v>1</v>
      </c>
      <c r="F5" s="82">
        <f>+'Total Revenue &amp; Costs'!F5</f>
        <v>1</v>
      </c>
      <c r="G5" s="82">
        <f>+'Total Revenue &amp; Costs'!G5</f>
        <v>1</v>
      </c>
      <c r="H5" s="82">
        <f>+'Total Revenue &amp; Costs'!H5</f>
        <v>1</v>
      </c>
      <c r="I5" s="82">
        <f>+'Total Revenue &amp; Costs'!I5</f>
        <v>1</v>
      </c>
      <c r="J5" s="82">
        <f>+'Total Revenue &amp; Costs'!J5</f>
        <v>1</v>
      </c>
      <c r="K5" s="82">
        <f>+'Total Revenue &amp; Costs'!K5</f>
        <v>1</v>
      </c>
      <c r="L5" s="82">
        <f>+'Total Revenue &amp; Costs'!L5</f>
        <v>1</v>
      </c>
      <c r="M5" s="82">
        <f>+'Total Revenue &amp; Costs'!M5</f>
        <v>1</v>
      </c>
      <c r="N5" s="82">
        <f>+'Total Revenue &amp; Costs'!N5</f>
        <v>1</v>
      </c>
      <c r="O5" s="82">
        <f>+'Total Revenue &amp; Costs'!O5</f>
        <v>1</v>
      </c>
      <c r="P5" s="82">
        <f>+'Total Revenue &amp; Costs'!P5</f>
        <v>1</v>
      </c>
      <c r="Q5" s="82">
        <f>+'Total Revenue &amp; Costs'!Q5</f>
        <v>1</v>
      </c>
      <c r="R5" s="82">
        <f>+'Total Revenue &amp; Costs'!R5</f>
        <v>1</v>
      </c>
      <c r="S5" s="82">
        <f>+'Total Revenue &amp; Costs'!S5</f>
        <v>1</v>
      </c>
      <c r="T5" s="82">
        <f>+'Total Revenue &amp; Costs'!T5</f>
        <v>1</v>
      </c>
      <c r="U5" s="82">
        <f>+'Total Revenue &amp; Costs'!U5</f>
        <v>1</v>
      </c>
      <c r="V5" s="82">
        <f>+'Total Revenue &amp; Costs'!V5</f>
        <v>1</v>
      </c>
      <c r="W5" s="82">
        <f>+'Total Revenue &amp; Costs'!W5</f>
        <v>1</v>
      </c>
    </row>
    <row r="6" spans="2:23" x14ac:dyDescent="0.2">
      <c r="B6" s="38" t="s">
        <v>495</v>
      </c>
    </row>
    <row r="8" spans="2:23" x14ac:dyDescent="0.2">
      <c r="B8" s="41" t="s">
        <v>184</v>
      </c>
      <c r="C8" s="41"/>
      <c r="D8" s="42">
        <f>+'P&amp;L'!D32</f>
        <v>0</v>
      </c>
      <c r="E8" s="42">
        <f>+'P&amp;L'!E32</f>
        <v>-1547802.6608044172</v>
      </c>
      <c r="F8" s="42">
        <f ca="1">+'P&amp;L'!F32</f>
        <v>-930365.38184512139</v>
      </c>
      <c r="G8" s="42">
        <f ca="1">+'P&amp;L'!G32</f>
        <v>-959772.57582226128</v>
      </c>
      <c r="H8" s="42">
        <f ca="1">+'P&amp;L'!H32</f>
        <v>-200752.61217790237</v>
      </c>
      <c r="I8" s="42">
        <f ca="1">+'P&amp;L'!I32</f>
        <v>-1187961.9338291835</v>
      </c>
      <c r="J8" s="42">
        <f ca="1">+'P&amp;L'!J32</f>
        <v>-183984.3338291836</v>
      </c>
      <c r="K8" s="42">
        <f ca="1">+'P&amp;L'!K32</f>
        <v>596586.86617081659</v>
      </c>
      <c r="L8" s="42">
        <f ca="1">+'P&amp;L'!L32</f>
        <v>1104093.2661708165</v>
      </c>
      <c r="M8" s="42">
        <f ca="1">+'P&amp;L'!M32</f>
        <v>1627692.6661708164</v>
      </c>
      <c r="N8" s="42">
        <f ca="1">+'P&amp;L'!N32</f>
        <v>1723790.8661708166</v>
      </c>
      <c r="O8" s="42">
        <f ca="1">+'P&amp;L'!O32</f>
        <v>1729614.9995041492</v>
      </c>
      <c r="P8" s="42">
        <f ca="1">+'P&amp;L'!P32</f>
        <v>1758735.6661708164</v>
      </c>
      <c r="Q8" s="42">
        <f ca="1">+'P&amp;L'!Q32</f>
        <v>1735439.1328374827</v>
      </c>
      <c r="R8" s="42">
        <f ca="1">+'P&amp;L'!R32</f>
        <v>1693214.1661708164</v>
      </c>
      <c r="S8" s="42">
        <f ca="1">+'P&amp;L'!S32</f>
        <v>1676512.6073472872</v>
      </c>
      <c r="T8" s="42">
        <f ca="1">+'P&amp;L'!T32</f>
        <v>1661666.7772819269</v>
      </c>
      <c r="U8" s="42">
        <f ca="1">+'P&amp;L'!U32</f>
        <v>1611599.6661708164</v>
      </c>
      <c r="V8" s="42">
        <f ca="1">+'P&amp;L'!V32</f>
        <v>1618956.4661708164</v>
      </c>
      <c r="W8" s="42">
        <f ca="1">+'P&amp;L'!W32</f>
        <v>1618956.4661708164</v>
      </c>
    </row>
    <row r="10" spans="2:23" x14ac:dyDescent="0.2">
      <c r="B10" s="2" t="s">
        <v>510</v>
      </c>
      <c r="D10" s="83">
        <f>+'P&amp;L'!D30</f>
        <v>0</v>
      </c>
      <c r="E10" s="83">
        <f>+'P&amp;L'!E30</f>
        <v>515934.22026813909</v>
      </c>
      <c r="F10" s="83">
        <f>+'P&amp;L'!F30</f>
        <v>654077.94079379982</v>
      </c>
      <c r="G10" s="83">
        <f>+'P&amp;L'!G30</f>
        <v>755976.15246995364</v>
      </c>
      <c r="H10" s="83">
        <f>+'P&amp;L'!H30</f>
        <v>832810.26126149204</v>
      </c>
      <c r="I10" s="83">
        <f>+'P&amp;L'!I30</f>
        <v>832810.26126149204</v>
      </c>
      <c r="J10" s="83">
        <f>+'P&amp;L'!J30</f>
        <v>832810.26126149204</v>
      </c>
      <c r="K10" s="83">
        <f>+'P&amp;L'!K30</f>
        <v>832810.26126149204</v>
      </c>
      <c r="L10" s="83">
        <f>+'P&amp;L'!L30</f>
        <v>832810.26126149204</v>
      </c>
      <c r="M10" s="83">
        <f>+'P&amp;L'!M30</f>
        <v>832810.26126149204</v>
      </c>
      <c r="N10" s="83">
        <f>+'P&amp;L'!N30</f>
        <v>832810.26126149204</v>
      </c>
      <c r="O10" s="83">
        <f>+'P&amp;L'!O30</f>
        <v>832810.26126149204</v>
      </c>
      <c r="P10" s="83">
        <f>+'P&amp;L'!P30</f>
        <v>832810.26126149204</v>
      </c>
      <c r="Q10" s="83">
        <f>+'P&amp;L'!Q30</f>
        <v>832810.26126149204</v>
      </c>
      <c r="R10" s="83">
        <f>+'P&amp;L'!R30</f>
        <v>832810.26126149204</v>
      </c>
      <c r="S10" s="83">
        <f>+'P&amp;L'!S30</f>
        <v>832810.26126149204</v>
      </c>
      <c r="T10" s="83">
        <f>+'P&amp;L'!T30</f>
        <v>832810.26126149204</v>
      </c>
      <c r="U10" s="83">
        <f>+'P&amp;L'!U30</f>
        <v>832810.26126149204</v>
      </c>
      <c r="V10" s="83">
        <f>+'P&amp;L'!V30</f>
        <v>832810.26126149204</v>
      </c>
      <c r="W10" s="83">
        <f>+'P&amp;L'!W30</f>
        <v>832810.26126149204</v>
      </c>
    </row>
    <row r="11" spans="2:23" x14ac:dyDescent="0.2">
      <c r="B11" s="2" t="s">
        <v>377</v>
      </c>
    </row>
    <row r="12" spans="2:23" x14ac:dyDescent="0.2">
      <c r="B12" s="2" t="s">
        <v>378</v>
      </c>
    </row>
    <row r="13" spans="2:23" x14ac:dyDescent="0.2">
      <c r="B13" s="2" t="s">
        <v>379</v>
      </c>
      <c r="D13" s="126">
        <f>+D61</f>
        <v>0</v>
      </c>
      <c r="E13" s="83">
        <f t="shared" ref="E13:W13" si="1">+E61</f>
        <v>0</v>
      </c>
      <c r="F13" s="83">
        <f t="shared" ca="1" si="1"/>
        <v>0</v>
      </c>
      <c r="G13" s="83">
        <f t="shared" ca="1" si="1"/>
        <v>0</v>
      </c>
      <c r="H13" s="83">
        <f t="shared" ca="1" si="1"/>
        <v>0</v>
      </c>
      <c r="I13" s="83">
        <f t="shared" ca="1" si="1"/>
        <v>0</v>
      </c>
      <c r="J13" s="83">
        <f t="shared" ca="1" si="1"/>
        <v>0</v>
      </c>
      <c r="K13" s="83">
        <f t="shared" ca="1" si="1"/>
        <v>0</v>
      </c>
      <c r="L13" s="83">
        <f t="shared" ca="1" si="1"/>
        <v>0</v>
      </c>
      <c r="M13" s="83">
        <f t="shared" ca="1" si="1"/>
        <v>0</v>
      </c>
      <c r="N13" s="83">
        <f t="shared" ca="1" si="1"/>
        <v>0</v>
      </c>
      <c r="O13" s="83">
        <f t="shared" ca="1" si="1"/>
        <v>0</v>
      </c>
      <c r="P13" s="83">
        <f t="shared" ca="1" si="1"/>
        <v>0</v>
      </c>
      <c r="Q13" s="83">
        <f t="shared" ca="1" si="1"/>
        <v>0</v>
      </c>
      <c r="R13" s="83">
        <f t="shared" ca="1" si="1"/>
        <v>0</v>
      </c>
      <c r="S13" s="83">
        <f t="shared" ca="1" si="1"/>
        <v>0</v>
      </c>
      <c r="T13" s="83">
        <f t="shared" ca="1" si="1"/>
        <v>0</v>
      </c>
      <c r="U13" s="83">
        <f t="shared" ca="1" si="1"/>
        <v>0</v>
      </c>
      <c r="V13" s="83">
        <f t="shared" ca="1" si="1"/>
        <v>0</v>
      </c>
      <c r="W13" s="83">
        <f t="shared" ca="1" si="1"/>
        <v>0</v>
      </c>
    </row>
    <row r="15" spans="2:23" x14ac:dyDescent="0.2">
      <c r="B15" s="2" t="s">
        <v>262</v>
      </c>
      <c r="D15" s="83">
        <f>+D8+SUM(D10:D11)+SUM(D13)</f>
        <v>0</v>
      </c>
      <c r="E15" s="123">
        <f t="shared" ref="E15:W15" si="2">+E8+SUM(E10:E11)+SUM(E13)</f>
        <v>-1031868.4405362781</v>
      </c>
      <c r="F15" s="123">
        <f t="shared" ca="1" si="2"/>
        <v>-276287.44105132157</v>
      </c>
      <c r="G15" s="123">
        <f t="shared" ca="1" si="2"/>
        <v>-203796.42335230764</v>
      </c>
      <c r="H15" s="123">
        <f t="shared" ca="1" si="2"/>
        <v>632057.64908358967</v>
      </c>
      <c r="I15" s="123">
        <f t="shared" ca="1" si="2"/>
        <v>-355151.67256769142</v>
      </c>
      <c r="J15" s="123">
        <f t="shared" ca="1" si="2"/>
        <v>648825.92743230844</v>
      </c>
      <c r="K15" s="123">
        <f t="shared" ca="1" si="2"/>
        <v>1429397.1274323086</v>
      </c>
      <c r="L15" s="123">
        <f t="shared" ca="1" si="2"/>
        <v>1936903.5274323085</v>
      </c>
      <c r="M15" s="123">
        <f t="shared" ca="1" si="2"/>
        <v>2460502.9274323084</v>
      </c>
      <c r="N15" s="123">
        <f t="shared" ca="1" si="2"/>
        <v>2556601.1274323086</v>
      </c>
      <c r="O15" s="123">
        <f t="shared" ca="1" si="2"/>
        <v>2562425.260765641</v>
      </c>
      <c r="P15" s="123">
        <f t="shared" ca="1" si="2"/>
        <v>2591545.9274323084</v>
      </c>
      <c r="Q15" s="123">
        <f t="shared" ca="1" si="2"/>
        <v>2568249.3940989748</v>
      </c>
      <c r="R15" s="123">
        <f t="shared" ca="1" si="2"/>
        <v>2526024.4274323084</v>
      </c>
      <c r="S15" s="123">
        <f t="shared" ca="1" si="2"/>
        <v>2509322.8686087793</v>
      </c>
      <c r="T15" s="123">
        <f t="shared" ca="1" si="2"/>
        <v>2494477.038543419</v>
      </c>
      <c r="U15" s="123">
        <f t="shared" ca="1" si="2"/>
        <v>2444409.9274323084</v>
      </c>
      <c r="V15" s="123">
        <f t="shared" ca="1" si="2"/>
        <v>2451766.7274323087</v>
      </c>
      <c r="W15" s="123">
        <f t="shared" ca="1" si="2"/>
        <v>2451766.7274323087</v>
      </c>
    </row>
    <row r="17" spans="2:23" x14ac:dyDescent="0.2">
      <c r="B17" s="2" t="s">
        <v>283</v>
      </c>
      <c r="D17" s="8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0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</row>
    <row r="18" spans="2:23" x14ac:dyDescent="0.2">
      <c r="B18" s="2" t="s">
        <v>501</v>
      </c>
      <c r="D18" s="83">
        <f>-(+'Total Revenue &amp; Costs'!D17)</f>
        <v>0</v>
      </c>
      <c r="E18" s="123">
        <f>-(+'Total Revenue &amp; Costs'!E17)</f>
        <v>-10318684.405362781</v>
      </c>
      <c r="F18" s="123">
        <f>-(+'Total Revenue &amp; Costs'!F17)</f>
        <v>-2762874.4105132157</v>
      </c>
      <c r="G18" s="123">
        <f>-(+'Total Revenue &amp; Costs'!G17)</f>
        <v>-2037964.2335230764</v>
      </c>
      <c r="H18" s="123">
        <f>-(+'Total Revenue &amp; Costs'!H17)</f>
        <v>-1536682.1758307689</v>
      </c>
      <c r="I18" s="123">
        <f>-(+'Total Revenue &amp; Costs'!I17)</f>
        <v>0</v>
      </c>
      <c r="J18" s="123">
        <f>-(+'Total Revenue &amp; Costs'!J17)</f>
        <v>0</v>
      </c>
      <c r="K18" s="123">
        <f>-(+'Total Revenue &amp; Costs'!K17)</f>
        <v>0</v>
      </c>
      <c r="L18" s="123">
        <f>-(+'Total Revenue &amp; Costs'!L17)</f>
        <v>0</v>
      </c>
      <c r="M18" s="123">
        <f>-(+'Total Revenue &amp; Costs'!M17)</f>
        <v>0</v>
      </c>
      <c r="N18" s="123">
        <f>-(+'Total Revenue &amp; Costs'!N17)</f>
        <v>0</v>
      </c>
      <c r="O18" s="123">
        <f>-(+'Total Revenue &amp; Costs'!O17)</f>
        <v>0</v>
      </c>
      <c r="P18" s="123">
        <f>-(+'Total Revenue &amp; Costs'!P17)</f>
        <v>0</v>
      </c>
      <c r="Q18" s="123">
        <f>-(+'Total Revenue &amp; Costs'!Q17)</f>
        <v>0</v>
      </c>
      <c r="R18" s="123">
        <f>-(+'Total Revenue &amp; Costs'!R17)</f>
        <v>0</v>
      </c>
      <c r="S18" s="123">
        <f>-(+'Total Revenue &amp; Costs'!S17)</f>
        <v>0</v>
      </c>
      <c r="T18" s="123">
        <f>-(+'Total Revenue &amp; Costs'!T17)</f>
        <v>0</v>
      </c>
      <c r="U18" s="123">
        <f>-(+'Total Revenue &amp; Costs'!U17)</f>
        <v>0</v>
      </c>
      <c r="V18" s="123">
        <f>-(+'Total Revenue &amp; Costs'!V17)</f>
        <v>0</v>
      </c>
      <c r="W18" s="123">
        <f>-(+'Total Revenue &amp; Costs'!W17)</f>
        <v>0</v>
      </c>
    </row>
    <row r="19" spans="2:23" x14ac:dyDescent="0.2">
      <c r="B19" s="2" t="s">
        <v>285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</row>
    <row r="20" spans="2:23" x14ac:dyDescent="0.2"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</row>
    <row r="21" spans="2:23" x14ac:dyDescent="0.2">
      <c r="B21" s="41" t="s">
        <v>263</v>
      </c>
      <c r="C21" s="41"/>
      <c r="D21" s="42">
        <f t="shared" ref="D21:W21" si="3">+D15+SUM(D17:D19)</f>
        <v>0</v>
      </c>
      <c r="E21" s="42">
        <f t="shared" si="3"/>
        <v>-11350552.845899059</v>
      </c>
      <c r="F21" s="42">
        <f t="shared" ca="1" si="3"/>
        <v>-3039161.8515645373</v>
      </c>
      <c r="G21" s="42">
        <f t="shared" ca="1" si="3"/>
        <v>-2241760.656875384</v>
      </c>
      <c r="H21" s="42">
        <f t="shared" ca="1" si="3"/>
        <v>-904624.52674717922</v>
      </c>
      <c r="I21" s="42">
        <f t="shared" ca="1" si="3"/>
        <v>-355151.67256769142</v>
      </c>
      <c r="J21" s="42">
        <f t="shared" ca="1" si="3"/>
        <v>648825.92743230844</v>
      </c>
      <c r="K21" s="42">
        <f t="shared" ca="1" si="3"/>
        <v>1429397.1274323086</v>
      </c>
      <c r="L21" s="42">
        <f t="shared" ca="1" si="3"/>
        <v>1936903.5274323085</v>
      </c>
      <c r="M21" s="42">
        <f t="shared" ca="1" si="3"/>
        <v>2460502.9274323084</v>
      </c>
      <c r="N21" s="42">
        <f t="shared" ca="1" si="3"/>
        <v>2556601.1274323086</v>
      </c>
      <c r="O21" s="42">
        <f t="shared" ca="1" si="3"/>
        <v>2562425.260765641</v>
      </c>
      <c r="P21" s="42">
        <f t="shared" ca="1" si="3"/>
        <v>2591545.9274323084</v>
      </c>
      <c r="Q21" s="42">
        <f t="shared" ca="1" si="3"/>
        <v>2568249.3940989748</v>
      </c>
      <c r="R21" s="42">
        <f t="shared" ca="1" si="3"/>
        <v>2526024.4274323084</v>
      </c>
      <c r="S21" s="42">
        <f t="shared" ca="1" si="3"/>
        <v>2509322.8686087793</v>
      </c>
      <c r="T21" s="42">
        <f t="shared" ca="1" si="3"/>
        <v>2494477.038543419</v>
      </c>
      <c r="U21" s="42">
        <f t="shared" ca="1" si="3"/>
        <v>2444409.9274323084</v>
      </c>
      <c r="V21" s="42">
        <f t="shared" ca="1" si="3"/>
        <v>2451766.7274323087</v>
      </c>
      <c r="W21" s="42">
        <f t="shared" ca="1" si="3"/>
        <v>2451766.7274323087</v>
      </c>
    </row>
    <row r="23" spans="2:23" x14ac:dyDescent="0.2">
      <c r="B23" s="2" t="s">
        <v>505</v>
      </c>
    </row>
    <row r="24" spans="2:23" x14ac:dyDescent="0.2">
      <c r="B24" s="48" t="s">
        <v>286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</row>
    <row r="25" spans="2:23" x14ac:dyDescent="0.2">
      <c r="B25" s="38" t="s">
        <v>502</v>
      </c>
      <c r="D25" s="48">
        <f>+Finance!D13</f>
        <v>0</v>
      </c>
      <c r="E25" s="48">
        <f>+Finance!E13</f>
        <v>11350553</v>
      </c>
      <c r="F25" s="48">
        <f>+Finance!F13</f>
        <v>3039162</v>
      </c>
      <c r="G25" s="48">
        <f>+Finance!G13</f>
        <v>2241760</v>
      </c>
      <c r="H25" s="48">
        <f>+Finance!H13</f>
        <v>1315505</v>
      </c>
      <c r="I25" s="48">
        <f>+Finance!I13</f>
        <v>1176912</v>
      </c>
      <c r="J25" s="48">
        <f>+Finance!J13</f>
        <v>583814</v>
      </c>
      <c r="K25" s="48">
        <f>+Finance!K13</f>
        <v>111402</v>
      </c>
      <c r="L25" s="48">
        <f>+Finance!L13</f>
        <v>0</v>
      </c>
      <c r="M25" s="48">
        <f>+Finance!M13</f>
        <v>0</v>
      </c>
      <c r="N25" s="48">
        <f>+Finance!N13</f>
        <v>0</v>
      </c>
      <c r="O25" s="48">
        <f>+Finance!O13</f>
        <v>0</v>
      </c>
      <c r="P25" s="48">
        <f>+Finance!P13</f>
        <v>0</v>
      </c>
      <c r="Q25" s="48">
        <f>+Finance!Q13</f>
        <v>0</v>
      </c>
      <c r="R25" s="48">
        <f>+Finance!R13</f>
        <v>0</v>
      </c>
      <c r="S25" s="48">
        <f>+Finance!S13</f>
        <v>0</v>
      </c>
      <c r="T25" s="48">
        <f>+Finance!T13</f>
        <v>0</v>
      </c>
      <c r="U25" s="48">
        <f>+Finance!U13</f>
        <v>0</v>
      </c>
      <c r="V25" s="48">
        <f>+Finance!V13</f>
        <v>0</v>
      </c>
      <c r="W25" s="48">
        <f>+Finance!W13</f>
        <v>0</v>
      </c>
    </row>
    <row r="27" spans="2:23" x14ac:dyDescent="0.2">
      <c r="B27" s="2" t="s">
        <v>287</v>
      </c>
      <c r="D27" s="2">
        <v>0</v>
      </c>
      <c r="E27" s="83">
        <f>+'P&amp;L'!D41</f>
        <v>0</v>
      </c>
      <c r="F27" s="83">
        <f ca="1">+'P&amp;L'!E41</f>
        <v>0</v>
      </c>
      <c r="G27" s="83">
        <f ca="1">+'P&amp;L'!F41</f>
        <v>0</v>
      </c>
      <c r="H27" s="83">
        <f ca="1">+'P&amp;L'!G41</f>
        <v>0</v>
      </c>
      <c r="I27" s="83">
        <f ca="1">+'P&amp;L'!H41</f>
        <v>0</v>
      </c>
      <c r="J27" s="83">
        <f ca="1">+'P&amp;L'!I41</f>
        <v>0</v>
      </c>
      <c r="K27" s="83">
        <f ca="1">+'P&amp;L'!J41</f>
        <v>0</v>
      </c>
      <c r="L27" s="83">
        <f ca="1">+'P&amp;L'!K41</f>
        <v>0</v>
      </c>
      <c r="M27" s="83">
        <f ca="1">+'P&amp;L'!L41</f>
        <v>0</v>
      </c>
      <c r="N27" s="83">
        <f ca="1">+'P&amp;L'!M41</f>
        <v>0</v>
      </c>
      <c r="O27" s="83">
        <f ca="1">+'P&amp;L'!N41</f>
        <v>0</v>
      </c>
      <c r="P27" s="83">
        <f ca="1">+'P&amp;L'!O41</f>
        <v>0</v>
      </c>
      <c r="Q27" s="83">
        <f ca="1">+'P&amp;L'!P41</f>
        <v>0</v>
      </c>
      <c r="R27" s="83">
        <f ca="1">+'P&amp;L'!Q41</f>
        <v>0</v>
      </c>
      <c r="S27" s="83">
        <f ca="1">+'P&amp;L'!R41</f>
        <v>0</v>
      </c>
      <c r="T27" s="83">
        <f ca="1">+'P&amp;L'!S41</f>
        <v>0</v>
      </c>
      <c r="U27" s="83">
        <f ca="1">+'P&amp;L'!T41</f>
        <v>0</v>
      </c>
      <c r="V27" s="83">
        <f ca="1">+'P&amp;L'!U41</f>
        <v>0</v>
      </c>
      <c r="W27" s="83">
        <f ca="1">+'P&amp;L'!V41</f>
        <v>0</v>
      </c>
    </row>
    <row r="29" spans="2:23" x14ac:dyDescent="0.2">
      <c r="B29" s="41" t="s">
        <v>264</v>
      </c>
      <c r="D29" s="83">
        <f t="shared" ref="D29:W29" si="4">SUM(D21:D25)-D27</f>
        <v>0</v>
      </c>
      <c r="E29" s="83">
        <f t="shared" si="4"/>
        <v>0.15410094149410725</v>
      </c>
      <c r="F29" s="83">
        <f t="shared" ca="1" si="4"/>
        <v>0.14843546273186803</v>
      </c>
      <c r="G29" s="83">
        <f t="shared" ca="1" si="4"/>
        <v>-0.65687538404017687</v>
      </c>
      <c r="H29" s="83">
        <f t="shared" ca="1" si="4"/>
        <v>410880.47325282078</v>
      </c>
      <c r="I29" s="83">
        <f t="shared" ca="1" si="4"/>
        <v>821760.32743230858</v>
      </c>
      <c r="J29" s="83">
        <f t="shared" ca="1" si="4"/>
        <v>1232639.9274323084</v>
      </c>
      <c r="K29" s="83">
        <f t="shared" ca="1" si="4"/>
        <v>1540799.1274323086</v>
      </c>
      <c r="L29" s="83">
        <f t="shared" ca="1" si="4"/>
        <v>1936903.5274323085</v>
      </c>
      <c r="M29" s="83">
        <f t="shared" ca="1" si="4"/>
        <v>2460502.9274323084</v>
      </c>
      <c r="N29" s="83">
        <f t="shared" ca="1" si="4"/>
        <v>2556601.1274323086</v>
      </c>
      <c r="O29" s="83">
        <f t="shared" ca="1" si="4"/>
        <v>2562425.260765641</v>
      </c>
      <c r="P29" s="83">
        <f t="shared" ca="1" si="4"/>
        <v>2591545.9274323084</v>
      </c>
      <c r="Q29" s="83">
        <f t="shared" ca="1" si="4"/>
        <v>2568249.3940989748</v>
      </c>
      <c r="R29" s="83">
        <f t="shared" ca="1" si="4"/>
        <v>2526024.4274323084</v>
      </c>
      <c r="S29" s="83">
        <f t="shared" ca="1" si="4"/>
        <v>2509322.8686087793</v>
      </c>
      <c r="T29" s="83">
        <f t="shared" ca="1" si="4"/>
        <v>2494477.038543419</v>
      </c>
      <c r="U29" s="83">
        <f t="shared" ca="1" si="4"/>
        <v>2444409.9274323084</v>
      </c>
      <c r="V29" s="83">
        <f t="shared" ca="1" si="4"/>
        <v>2451766.7274323087</v>
      </c>
      <c r="W29" s="83">
        <f t="shared" ca="1" si="4"/>
        <v>2451766.7274323087</v>
      </c>
    </row>
    <row r="30" spans="2:23" x14ac:dyDescent="0.2">
      <c r="B30" s="41"/>
    </row>
    <row r="31" spans="2:23" x14ac:dyDescent="0.2">
      <c r="B31" s="38" t="s">
        <v>503</v>
      </c>
      <c r="D31" s="48">
        <f>-Finance!D14</f>
        <v>0</v>
      </c>
      <c r="E31" s="48">
        <f>-Finance!E14</f>
        <v>0</v>
      </c>
      <c r="F31" s="48">
        <f>-Finance!F14</f>
        <v>0</v>
      </c>
      <c r="G31" s="48">
        <f>-Finance!G14</f>
        <v>0</v>
      </c>
      <c r="H31" s="48">
        <f ca="1">-Finance!H14</f>
        <v>410880</v>
      </c>
      <c r="I31" s="48">
        <f ca="1">-Finance!I14</f>
        <v>821760</v>
      </c>
      <c r="J31" s="48">
        <f ca="1">-Finance!J14</f>
        <v>1232640</v>
      </c>
      <c r="K31" s="48">
        <f ca="1">-Finance!K14</f>
        <v>1540800</v>
      </c>
      <c r="L31" s="48">
        <f ca="1">-Finance!L14</f>
        <v>1746240</v>
      </c>
      <c r="M31" s="48">
        <f ca="1">-Finance!M14</f>
        <v>1951680</v>
      </c>
      <c r="N31" s="48">
        <f ca="1">-Finance!N14</f>
        <v>1951680</v>
      </c>
      <c r="O31" s="48">
        <f ca="1">-Finance!O14</f>
        <v>1951680</v>
      </c>
      <c r="P31" s="48">
        <f ca="1">-Finance!P14</f>
        <v>1951680</v>
      </c>
      <c r="Q31" s="48">
        <f ca="1">-Finance!Q14</f>
        <v>1951680</v>
      </c>
      <c r="R31" s="48">
        <f ca="1">-Finance!R14</f>
        <v>1951680</v>
      </c>
      <c r="S31" s="48">
        <f ca="1">-Finance!S14</f>
        <v>1951680</v>
      </c>
      <c r="T31" s="48">
        <f ca="1">-Finance!T14</f>
        <v>1951680</v>
      </c>
      <c r="U31" s="48">
        <f ca="1">-Finance!U14</f>
        <v>1951680</v>
      </c>
      <c r="V31" s="48">
        <f ca="1">-Finance!V14</f>
        <v>1951680</v>
      </c>
      <c r="W31" s="48">
        <f ca="1">-Finance!W14</f>
        <v>1437724.7899008924</v>
      </c>
    </row>
    <row r="32" spans="2:23" x14ac:dyDescent="0.2">
      <c r="B32" s="38" t="s">
        <v>504</v>
      </c>
      <c r="D32" s="48">
        <f>+Finance!D18</f>
        <v>0</v>
      </c>
      <c r="E32" s="48">
        <f>+Finance!E18</f>
        <v>0</v>
      </c>
      <c r="F32" s="48">
        <f>+Finance!F18</f>
        <v>0</v>
      </c>
      <c r="G32" s="48">
        <f>+Finance!G18</f>
        <v>0</v>
      </c>
      <c r="H32" s="48">
        <f>+Finance!H18</f>
        <v>0</v>
      </c>
      <c r="I32" s="48">
        <f>+Finance!I18</f>
        <v>0</v>
      </c>
      <c r="J32" s="48">
        <f>+Finance!J18</f>
        <v>0</v>
      </c>
      <c r="K32" s="48">
        <f>+Finance!K18</f>
        <v>0</v>
      </c>
      <c r="L32" s="48">
        <f>+Finance!L18</f>
        <v>0</v>
      </c>
      <c r="M32" s="48">
        <f>+Finance!M18</f>
        <v>0</v>
      </c>
      <c r="N32" s="48">
        <f>+Finance!N18</f>
        <v>0</v>
      </c>
      <c r="O32" s="48">
        <f>+Finance!O18</f>
        <v>0</v>
      </c>
      <c r="P32" s="48">
        <f>+Finance!P18</f>
        <v>0</v>
      </c>
      <c r="Q32" s="48">
        <f>+Finance!Q18</f>
        <v>0</v>
      </c>
      <c r="R32" s="48">
        <f>+Finance!R18</f>
        <v>0</v>
      </c>
      <c r="S32" s="48">
        <f>+Finance!S18</f>
        <v>0</v>
      </c>
      <c r="T32" s="48">
        <f>+Finance!T18</f>
        <v>0</v>
      </c>
      <c r="U32" s="48">
        <f>+Finance!U18</f>
        <v>0</v>
      </c>
      <c r="V32" s="48">
        <f>+Finance!V18</f>
        <v>0</v>
      </c>
      <c r="W32" s="48">
        <f>+Finance!W18</f>
        <v>0</v>
      </c>
    </row>
    <row r="33" spans="2:23" x14ac:dyDescent="0.2">
      <c r="B33" s="41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2:23" x14ac:dyDescent="0.2">
      <c r="B34" s="41" t="s">
        <v>265</v>
      </c>
      <c r="D34" s="83">
        <f t="shared" ref="D34:W34" si="5">+D29-SUM(D31:D32)</f>
        <v>0</v>
      </c>
      <c r="E34" s="83">
        <f t="shared" si="5"/>
        <v>0.15410094149410725</v>
      </c>
      <c r="F34" s="83">
        <f t="shared" ca="1" si="5"/>
        <v>0.14843546273186803</v>
      </c>
      <c r="G34" s="83">
        <f t="shared" ca="1" si="5"/>
        <v>-0.65687538404017687</v>
      </c>
      <c r="H34" s="83">
        <f t="shared" ca="1" si="5"/>
        <v>0.47325282078236341</v>
      </c>
      <c r="I34" s="83">
        <f t="shared" ca="1" si="5"/>
        <v>0.32743230857886374</v>
      </c>
      <c r="J34" s="83">
        <f t="shared" ca="1" si="5"/>
        <v>-7.2567691560834646E-2</v>
      </c>
      <c r="K34" s="83">
        <f t="shared" ca="1" si="5"/>
        <v>-0.87256769137457013</v>
      </c>
      <c r="L34" s="83">
        <f t="shared" ca="1" si="5"/>
        <v>190663.52743230853</v>
      </c>
      <c r="M34" s="83">
        <f t="shared" ca="1" si="5"/>
        <v>508822.92743230844</v>
      </c>
      <c r="N34" s="83">
        <f t="shared" ca="1" si="5"/>
        <v>604921.12743230863</v>
      </c>
      <c r="O34" s="83">
        <f t="shared" ca="1" si="5"/>
        <v>610745.260765641</v>
      </c>
      <c r="P34" s="83">
        <f t="shared" ca="1" si="5"/>
        <v>639865.92743230844</v>
      </c>
      <c r="Q34" s="83">
        <f t="shared" ca="1" si="5"/>
        <v>616569.39409897476</v>
      </c>
      <c r="R34" s="83">
        <f t="shared" ca="1" si="5"/>
        <v>574344.42743230844</v>
      </c>
      <c r="S34" s="83">
        <f t="shared" ca="1" si="5"/>
        <v>557642.86860877927</v>
      </c>
      <c r="T34" s="83">
        <f t="shared" ca="1" si="5"/>
        <v>542797.03854341898</v>
      </c>
      <c r="U34" s="83">
        <f t="shared" ca="1" si="5"/>
        <v>492729.92743230844</v>
      </c>
      <c r="V34" s="83">
        <f t="shared" ca="1" si="5"/>
        <v>500086.72743230872</v>
      </c>
      <c r="W34" s="83">
        <f t="shared" ca="1" si="5"/>
        <v>1014041.9375314163</v>
      </c>
    </row>
    <row r="36" spans="2:23" x14ac:dyDescent="0.2">
      <c r="B36" s="2" t="s">
        <v>266</v>
      </c>
      <c r="D36" s="2">
        <f>+'P&amp;L'!D45</f>
        <v>0</v>
      </c>
      <c r="E36" s="2">
        <f>+'P&amp;L'!E45</f>
        <v>0</v>
      </c>
      <c r="F36" s="2">
        <f>+'P&amp;L'!F45</f>
        <v>0</v>
      </c>
      <c r="G36" s="2">
        <f>+'P&amp;L'!G45</f>
        <v>0</v>
      </c>
      <c r="H36" s="2">
        <f>+'P&amp;L'!H45</f>
        <v>0</v>
      </c>
      <c r="I36" s="2">
        <f>+'P&amp;L'!I45</f>
        <v>0</v>
      </c>
      <c r="J36" s="2">
        <f>+'P&amp;L'!J45</f>
        <v>0</v>
      </c>
      <c r="K36" s="2">
        <f>+'P&amp;L'!K45</f>
        <v>0</v>
      </c>
      <c r="L36" s="2">
        <f>+'P&amp;L'!L45</f>
        <v>0</v>
      </c>
      <c r="M36" s="2">
        <f>+'P&amp;L'!M45</f>
        <v>0</v>
      </c>
      <c r="N36" s="2">
        <f>+'P&amp;L'!N45</f>
        <v>0</v>
      </c>
      <c r="O36" s="2">
        <f>+'P&amp;L'!O45</f>
        <v>0</v>
      </c>
      <c r="P36" s="2">
        <f>+'P&amp;L'!P45</f>
        <v>0</v>
      </c>
      <c r="Q36" s="2">
        <f>+'P&amp;L'!Q45</f>
        <v>0</v>
      </c>
      <c r="R36" s="2">
        <f>+'P&amp;L'!R45</f>
        <v>0</v>
      </c>
      <c r="S36" s="2">
        <f>+'P&amp;L'!S45</f>
        <v>0</v>
      </c>
      <c r="T36" s="2">
        <f>+'P&amp;L'!T45</f>
        <v>0</v>
      </c>
      <c r="U36" s="2">
        <f>+'P&amp;L'!U45</f>
        <v>0</v>
      </c>
      <c r="V36" s="2">
        <f>+'P&amp;L'!V45</f>
        <v>0</v>
      </c>
      <c r="W36" s="2">
        <f>+'P&amp;L'!W45</f>
        <v>0</v>
      </c>
    </row>
    <row r="37" spans="2:23" x14ac:dyDescent="0.2">
      <c r="B37" s="62"/>
    </row>
    <row r="38" spans="2:23" x14ac:dyDescent="0.2">
      <c r="B38" s="41" t="s">
        <v>267</v>
      </c>
      <c r="C38" s="41"/>
      <c r="D38" s="42">
        <f>+D34-D36</f>
        <v>0</v>
      </c>
      <c r="E38" s="42">
        <f>+E34-E36</f>
        <v>0.15410094149410725</v>
      </c>
      <c r="F38" s="42">
        <f t="shared" ref="F38:W38" ca="1" si="6">+F34-F36</f>
        <v>0.14843546273186803</v>
      </c>
      <c r="G38" s="42">
        <f t="shared" ca="1" si="6"/>
        <v>-0.65687538404017687</v>
      </c>
      <c r="H38" s="42">
        <f t="shared" ca="1" si="6"/>
        <v>0.47325282078236341</v>
      </c>
      <c r="I38" s="42">
        <f t="shared" ca="1" si="6"/>
        <v>0.32743230857886374</v>
      </c>
      <c r="J38" s="42">
        <f t="shared" ca="1" si="6"/>
        <v>-7.2567691560834646E-2</v>
      </c>
      <c r="K38" s="42">
        <f ca="1">+K34-K36</f>
        <v>-0.87256769137457013</v>
      </c>
      <c r="L38" s="42">
        <f t="shared" ca="1" si="6"/>
        <v>190663.52743230853</v>
      </c>
      <c r="M38" s="42">
        <f t="shared" ca="1" si="6"/>
        <v>508822.92743230844</v>
      </c>
      <c r="N38" s="42">
        <f t="shared" ca="1" si="6"/>
        <v>604921.12743230863</v>
      </c>
      <c r="O38" s="42">
        <f t="shared" ca="1" si="6"/>
        <v>610745.260765641</v>
      </c>
      <c r="P38" s="42">
        <f t="shared" ca="1" si="6"/>
        <v>639865.92743230844</v>
      </c>
      <c r="Q38" s="42">
        <f t="shared" ca="1" si="6"/>
        <v>616569.39409897476</v>
      </c>
      <c r="R38" s="42">
        <f t="shared" ca="1" si="6"/>
        <v>574344.42743230844</v>
      </c>
      <c r="S38" s="42">
        <f t="shared" ca="1" si="6"/>
        <v>557642.86860877927</v>
      </c>
      <c r="T38" s="42">
        <f t="shared" ca="1" si="6"/>
        <v>542797.03854341898</v>
      </c>
      <c r="U38" s="42">
        <f t="shared" ca="1" si="6"/>
        <v>492729.92743230844</v>
      </c>
      <c r="V38" s="42">
        <f t="shared" ca="1" si="6"/>
        <v>500086.72743230872</v>
      </c>
      <c r="W38" s="42">
        <f t="shared" ca="1" si="6"/>
        <v>1014041.9375314163</v>
      </c>
    </row>
    <row r="40" spans="2:23" x14ac:dyDescent="0.2">
      <c r="B40" s="2" t="s">
        <v>268</v>
      </c>
      <c r="D40" s="2">
        <v>0</v>
      </c>
      <c r="E40" s="83">
        <f>+D43</f>
        <v>0</v>
      </c>
      <c r="F40" s="83">
        <f t="shared" ref="F40:W40" si="7">+E43</f>
        <v>0.15410094149410725</v>
      </c>
      <c r="G40" s="83">
        <f t="shared" ca="1" si="7"/>
        <v>0.30253640422597528</v>
      </c>
      <c r="H40" s="83">
        <f t="shared" ca="1" si="7"/>
        <v>-0.35433897981420159</v>
      </c>
      <c r="I40" s="83">
        <f t="shared" ca="1" si="7"/>
        <v>0.11891384096816182</v>
      </c>
      <c r="J40" s="83">
        <f t="shared" ca="1" si="7"/>
        <v>0.44634614954702556</v>
      </c>
      <c r="K40" s="83">
        <f t="shared" ca="1" si="7"/>
        <v>0.37377845798619092</v>
      </c>
      <c r="L40" s="83">
        <f t="shared" ca="1" si="7"/>
        <v>-0.49878923338837922</v>
      </c>
      <c r="M40" s="83">
        <f t="shared" ca="1" si="7"/>
        <v>190663.02864307514</v>
      </c>
      <c r="N40" s="83">
        <f t="shared" ca="1" si="7"/>
        <v>699485.95607538358</v>
      </c>
      <c r="O40" s="83">
        <f t="shared" ca="1" si="7"/>
        <v>1304407.0835076922</v>
      </c>
      <c r="P40" s="83">
        <f t="shared" ca="1" si="7"/>
        <v>1915152.3442733332</v>
      </c>
      <c r="Q40" s="83">
        <f t="shared" ca="1" si="7"/>
        <v>2555018.2717056414</v>
      </c>
      <c r="R40" s="83">
        <f t="shared" ca="1" si="7"/>
        <v>3171587.6658046162</v>
      </c>
      <c r="S40" s="83">
        <f t="shared" ca="1" si="7"/>
        <v>3745932.0932369246</v>
      </c>
      <c r="T40" s="83">
        <f t="shared" ca="1" si="7"/>
        <v>4303574.9618457034</v>
      </c>
      <c r="U40" s="83">
        <f t="shared" ca="1" si="7"/>
        <v>4846372.0003891224</v>
      </c>
      <c r="V40" s="83">
        <f t="shared" ca="1" si="7"/>
        <v>5339101.9278214313</v>
      </c>
      <c r="W40" s="83">
        <f t="shared" ca="1" si="7"/>
        <v>5839188.65525374</v>
      </c>
    </row>
    <row r="41" spans="2:23" x14ac:dyDescent="0.2">
      <c r="B41" s="2" t="s">
        <v>269</v>
      </c>
    </row>
    <row r="43" spans="2:23" x14ac:dyDescent="0.2">
      <c r="B43" s="41" t="s">
        <v>270</v>
      </c>
      <c r="C43" s="41"/>
      <c r="D43" s="42">
        <f>+D38+D40+D41</f>
        <v>0</v>
      </c>
      <c r="E43" s="42">
        <f>+E38+E40+E41</f>
        <v>0.15410094149410725</v>
      </c>
      <c r="F43" s="42">
        <f t="shared" ref="F43:W43" ca="1" si="8">+F38+F40+F41</f>
        <v>0.30253640422597528</v>
      </c>
      <c r="G43" s="42">
        <f t="shared" ca="1" si="8"/>
        <v>-0.35433897981420159</v>
      </c>
      <c r="H43" s="42">
        <f t="shared" ca="1" si="8"/>
        <v>0.11891384096816182</v>
      </c>
      <c r="I43" s="42">
        <f t="shared" ca="1" si="8"/>
        <v>0.44634614954702556</v>
      </c>
      <c r="J43" s="42">
        <f t="shared" ca="1" si="8"/>
        <v>0.37377845798619092</v>
      </c>
      <c r="K43" s="42">
        <f ca="1">+K38+K40+K41</f>
        <v>-0.49878923338837922</v>
      </c>
      <c r="L43" s="42">
        <f t="shared" ca="1" si="8"/>
        <v>190663.02864307514</v>
      </c>
      <c r="M43" s="42">
        <f t="shared" ca="1" si="8"/>
        <v>699485.95607538358</v>
      </c>
      <c r="N43" s="42">
        <f t="shared" ca="1" si="8"/>
        <v>1304407.0835076922</v>
      </c>
      <c r="O43" s="42">
        <f t="shared" ca="1" si="8"/>
        <v>1915152.3442733332</v>
      </c>
      <c r="P43" s="42">
        <f t="shared" ca="1" si="8"/>
        <v>2555018.2717056414</v>
      </c>
      <c r="Q43" s="42">
        <f t="shared" ca="1" si="8"/>
        <v>3171587.6658046162</v>
      </c>
      <c r="R43" s="42">
        <f t="shared" ca="1" si="8"/>
        <v>3745932.0932369246</v>
      </c>
      <c r="S43" s="42">
        <f t="shared" ca="1" si="8"/>
        <v>4303574.9618457034</v>
      </c>
      <c r="T43" s="42">
        <f t="shared" ca="1" si="8"/>
        <v>4846372.0003891224</v>
      </c>
      <c r="U43" s="42">
        <f t="shared" ca="1" si="8"/>
        <v>5339101.9278214313</v>
      </c>
      <c r="V43" s="42">
        <f t="shared" ca="1" si="8"/>
        <v>5839188.65525374</v>
      </c>
      <c r="W43" s="42">
        <f t="shared" ca="1" si="8"/>
        <v>6853230.5927851563</v>
      </c>
    </row>
    <row r="45" spans="2:23" x14ac:dyDescent="0.2">
      <c r="B45" s="41" t="s">
        <v>271</v>
      </c>
    </row>
    <row r="47" spans="2:23" x14ac:dyDescent="0.2">
      <c r="B47" s="2" t="s">
        <v>272</v>
      </c>
      <c r="D47" s="83">
        <f>-'Total Revenue &amp; Costs'!D38</f>
        <v>0</v>
      </c>
      <c r="E47" s="83">
        <f>-(+'Total Revenue &amp; Costs'!E38-'Total Revenue &amp; Costs'!D38)</f>
        <v>0</v>
      </c>
      <c r="F47" s="123">
        <f>-(+'Total Revenue &amp; Costs'!F38-'Total Revenue &amp; Costs'!E38)</f>
        <v>0</v>
      </c>
      <c r="G47" s="123">
        <f>-(+'Total Revenue &amp; Costs'!G38-'Total Revenue &amp; Costs'!F38)</f>
        <v>0</v>
      </c>
      <c r="H47" s="123">
        <f>-(+'Total Revenue &amp; Costs'!H38-'Total Revenue &amp; Costs'!G38)</f>
        <v>0</v>
      </c>
      <c r="I47" s="123">
        <f>-(+'Total Revenue &amp; Costs'!I38-'Total Revenue &amp; Costs'!H38)</f>
        <v>0</v>
      </c>
      <c r="J47" s="123">
        <f>-(+'Total Revenue &amp; Costs'!J38-'Total Revenue &amp; Costs'!I38)</f>
        <v>0</v>
      </c>
      <c r="K47" s="123">
        <f>-(+'Total Revenue &amp; Costs'!K38-'Total Revenue &amp; Costs'!J38)</f>
        <v>0</v>
      </c>
      <c r="L47" s="123">
        <f>-(+'Total Revenue &amp; Costs'!L38-'Total Revenue &amp; Costs'!K38)</f>
        <v>0</v>
      </c>
      <c r="M47" s="123">
        <f>-(+'Total Revenue &amp; Costs'!M38-'Total Revenue &amp; Costs'!L38)</f>
        <v>0</v>
      </c>
      <c r="N47" s="123">
        <f>-(+'Total Revenue &amp; Costs'!N38-'Total Revenue &amp; Costs'!M38)</f>
        <v>0</v>
      </c>
      <c r="O47" s="123">
        <f>-(+'Total Revenue &amp; Costs'!O38-'Total Revenue &amp; Costs'!N38)</f>
        <v>0</v>
      </c>
      <c r="P47" s="123">
        <f>-(+'Total Revenue &amp; Costs'!P38-'Total Revenue &amp; Costs'!O38)</f>
        <v>0</v>
      </c>
      <c r="Q47" s="123">
        <f>-(+'Total Revenue &amp; Costs'!Q38-'Total Revenue &amp; Costs'!P38)</f>
        <v>0</v>
      </c>
      <c r="R47" s="123">
        <f>-(+'Total Revenue &amp; Costs'!R38-'Total Revenue &amp; Costs'!Q38)</f>
        <v>0</v>
      </c>
      <c r="S47" s="123">
        <f>-(+'Total Revenue &amp; Costs'!S38-'Total Revenue &amp; Costs'!R38)</f>
        <v>0</v>
      </c>
      <c r="T47" s="123">
        <f>-(+'Total Revenue &amp; Costs'!T38-'Total Revenue &amp; Costs'!S38)</f>
        <v>0</v>
      </c>
      <c r="U47" s="123">
        <f>-(+'Total Revenue &amp; Costs'!U38-'Total Revenue &amp; Costs'!T38)</f>
        <v>0</v>
      </c>
      <c r="V47" s="123">
        <f>-(+'Total Revenue &amp; Costs'!V38-'Total Revenue &amp; Costs'!U38)</f>
        <v>0</v>
      </c>
      <c r="W47" s="123">
        <f>-(+'Total Revenue &amp; Costs'!W38-'Total Revenue &amp; Costs'!V38)</f>
        <v>0</v>
      </c>
    </row>
    <row r="48" spans="2:23" x14ac:dyDescent="0.2">
      <c r="B48" s="2" t="s">
        <v>273</v>
      </c>
      <c r="D48" s="83">
        <f>-'Total Revenue &amp; Costs'!D39</f>
        <v>0</v>
      </c>
      <c r="E48" s="83">
        <f>-(+'Total Revenue &amp; Costs'!E39-'Total Revenue &amp; Costs'!D39)</f>
        <v>0</v>
      </c>
      <c r="F48" s="123">
        <f>-(+'Total Revenue &amp; Costs'!F39-'Total Revenue &amp; Costs'!E39)</f>
        <v>0</v>
      </c>
      <c r="G48" s="123">
        <f>-(+'Total Revenue &amp; Costs'!G39-'Total Revenue &amp; Costs'!F39)</f>
        <v>0</v>
      </c>
      <c r="H48" s="123">
        <f>-(+'Total Revenue &amp; Costs'!H39-'Total Revenue &amp; Costs'!G39)</f>
        <v>0</v>
      </c>
      <c r="I48" s="123">
        <f>-(+'Total Revenue &amp; Costs'!I39-'Total Revenue &amp; Costs'!H39)</f>
        <v>0</v>
      </c>
      <c r="J48" s="123">
        <f>-(+'Total Revenue &amp; Costs'!J39-'Total Revenue &amp; Costs'!I39)</f>
        <v>0</v>
      </c>
      <c r="K48" s="123">
        <f>-(+'Total Revenue &amp; Costs'!K39-'Total Revenue &amp; Costs'!J39)</f>
        <v>0</v>
      </c>
      <c r="L48" s="123">
        <f>-(+'Total Revenue &amp; Costs'!L39-'Total Revenue &amp; Costs'!K39)</f>
        <v>0</v>
      </c>
      <c r="M48" s="123">
        <f>-(+'Total Revenue &amp; Costs'!M39-'Total Revenue &amp; Costs'!L39)</f>
        <v>0</v>
      </c>
      <c r="N48" s="123">
        <f>-(+'Total Revenue &amp; Costs'!N39-'Total Revenue &amp; Costs'!M39)</f>
        <v>0</v>
      </c>
      <c r="O48" s="123">
        <f>-(+'Total Revenue &amp; Costs'!O39-'Total Revenue &amp; Costs'!N39)</f>
        <v>0</v>
      </c>
      <c r="P48" s="123">
        <f>-(+'Total Revenue &amp; Costs'!P39-'Total Revenue &amp; Costs'!O39)</f>
        <v>0</v>
      </c>
      <c r="Q48" s="123">
        <f>-(+'Total Revenue &amp; Costs'!Q39-'Total Revenue &amp; Costs'!P39)</f>
        <v>0</v>
      </c>
      <c r="R48" s="123">
        <f>-(+'Total Revenue &amp; Costs'!R39-'Total Revenue &amp; Costs'!Q39)</f>
        <v>0</v>
      </c>
      <c r="S48" s="123">
        <f>-(+'Total Revenue &amp; Costs'!S39-'Total Revenue &amp; Costs'!R39)</f>
        <v>0</v>
      </c>
      <c r="T48" s="123">
        <f>-(+'Total Revenue &amp; Costs'!T39-'Total Revenue &amp; Costs'!S39)</f>
        <v>0</v>
      </c>
      <c r="U48" s="123">
        <f>-(+'Total Revenue &amp; Costs'!U39-'Total Revenue &amp; Costs'!T39)</f>
        <v>0</v>
      </c>
      <c r="V48" s="123">
        <f>-(+'Total Revenue &amp; Costs'!V39-'Total Revenue &amp; Costs'!U39)</f>
        <v>0</v>
      </c>
      <c r="W48" s="123">
        <f>-(+'Total Revenue &amp; Costs'!W39-'Total Revenue &amp; Costs'!V39)</f>
        <v>0</v>
      </c>
    </row>
    <row r="49" spans="2:23" x14ac:dyDescent="0.2">
      <c r="B49" s="2" t="s">
        <v>274</v>
      </c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</row>
    <row r="50" spans="2:23" x14ac:dyDescent="0.2">
      <c r="B50" s="2" t="s">
        <v>207</v>
      </c>
      <c r="D50" s="83">
        <f>-'Total Revenue &amp; Costs'!D40</f>
        <v>0</v>
      </c>
      <c r="E50" s="83">
        <f>-(+'Total Revenue &amp; Costs'!E40-'Total Revenue &amp; Costs'!D40)</f>
        <v>0</v>
      </c>
      <c r="F50" s="123">
        <f ca="1">-(+'Total Revenue &amp; Costs'!F40-'Total Revenue &amp; Costs'!E40)</f>
        <v>0</v>
      </c>
      <c r="G50" s="123">
        <f ca="1">-(+'Total Revenue &amp; Costs'!G40-'Total Revenue &amp; Costs'!F40)</f>
        <v>0</v>
      </c>
      <c r="H50" s="123">
        <f ca="1">-(+'Total Revenue &amp; Costs'!H40-'Total Revenue &amp; Costs'!G40)</f>
        <v>0</v>
      </c>
      <c r="I50" s="123">
        <f ca="1">-(+'Total Revenue &amp; Costs'!I40-'Total Revenue &amp; Costs'!H40)</f>
        <v>0</v>
      </c>
      <c r="J50" s="123">
        <f ca="1">-(+'Total Revenue &amp; Costs'!J40-'Total Revenue &amp; Costs'!I40)</f>
        <v>0</v>
      </c>
      <c r="K50" s="123">
        <f ca="1">-(+'Total Revenue &amp; Costs'!K40-'Total Revenue &amp; Costs'!J40)</f>
        <v>0</v>
      </c>
      <c r="L50" s="123">
        <f ca="1">-(+'Total Revenue &amp; Costs'!L40-'Total Revenue &amp; Costs'!K40)</f>
        <v>0</v>
      </c>
      <c r="M50" s="123">
        <f ca="1">-(+'Total Revenue &amp; Costs'!M40-'Total Revenue &amp; Costs'!L40)</f>
        <v>0</v>
      </c>
      <c r="N50" s="123">
        <f ca="1">-(+'Total Revenue &amp; Costs'!N40-'Total Revenue &amp; Costs'!M40)</f>
        <v>0</v>
      </c>
      <c r="O50" s="123">
        <f ca="1">-(+'Total Revenue &amp; Costs'!O40-'Total Revenue &amp; Costs'!N40)</f>
        <v>0</v>
      </c>
      <c r="P50" s="123">
        <f ca="1">-(+'Total Revenue &amp; Costs'!P40-'Total Revenue &amp; Costs'!O40)</f>
        <v>0</v>
      </c>
      <c r="Q50" s="123">
        <f ca="1">-(+'Total Revenue &amp; Costs'!Q40-'Total Revenue &amp; Costs'!P40)</f>
        <v>0</v>
      </c>
      <c r="R50" s="123">
        <f ca="1">-(+'Total Revenue &amp; Costs'!R40-'Total Revenue &amp; Costs'!Q40)</f>
        <v>0</v>
      </c>
      <c r="S50" s="123">
        <f ca="1">-(+'Total Revenue &amp; Costs'!S40-'Total Revenue &amp; Costs'!R40)</f>
        <v>0</v>
      </c>
      <c r="T50" s="123">
        <f ca="1">-(+'Total Revenue &amp; Costs'!T40-'Total Revenue &amp; Costs'!S40)</f>
        <v>0</v>
      </c>
      <c r="U50" s="123">
        <f ca="1">-(+'Total Revenue &amp; Costs'!U40-'Total Revenue &amp; Costs'!T40)</f>
        <v>0</v>
      </c>
      <c r="V50" s="123">
        <f ca="1">-(+'Total Revenue &amp; Costs'!V40-'Total Revenue &amp; Costs'!U40)</f>
        <v>0</v>
      </c>
      <c r="W50" s="123">
        <f ca="1">-(+'Total Revenue &amp; Costs'!W40-'Total Revenue &amp; Costs'!V40)</f>
        <v>0</v>
      </c>
    </row>
    <row r="51" spans="2:23" x14ac:dyDescent="0.2">
      <c r="B51" s="2" t="s">
        <v>275</v>
      </c>
    </row>
    <row r="52" spans="2:23" x14ac:dyDescent="0.2">
      <c r="B52" s="38" t="s">
        <v>276</v>
      </c>
    </row>
    <row r="54" spans="2:23" x14ac:dyDescent="0.2">
      <c r="B54" s="2" t="s">
        <v>277</v>
      </c>
      <c r="D54" s="83">
        <f>SUM(D47:D52)</f>
        <v>0</v>
      </c>
      <c r="E54" s="83">
        <f>SUM(E47:E52)</f>
        <v>0</v>
      </c>
      <c r="F54" s="83">
        <f t="shared" ref="F54:W54" ca="1" si="9">SUM(F47:F52)</f>
        <v>0</v>
      </c>
      <c r="G54" s="83">
        <f t="shared" ca="1" si="9"/>
        <v>0</v>
      </c>
      <c r="H54" s="83">
        <f t="shared" ca="1" si="9"/>
        <v>0</v>
      </c>
      <c r="I54" s="83">
        <f t="shared" ca="1" si="9"/>
        <v>0</v>
      </c>
      <c r="J54" s="83">
        <f t="shared" ca="1" si="9"/>
        <v>0</v>
      </c>
      <c r="K54" s="83">
        <f t="shared" ca="1" si="9"/>
        <v>0</v>
      </c>
      <c r="L54" s="83">
        <f t="shared" ca="1" si="9"/>
        <v>0</v>
      </c>
      <c r="M54" s="83">
        <f t="shared" ca="1" si="9"/>
        <v>0</v>
      </c>
      <c r="N54" s="83">
        <f t="shared" ca="1" si="9"/>
        <v>0</v>
      </c>
      <c r="O54" s="83">
        <f t="shared" ca="1" si="9"/>
        <v>0</v>
      </c>
      <c r="P54" s="83">
        <f t="shared" ca="1" si="9"/>
        <v>0</v>
      </c>
      <c r="Q54" s="83">
        <f t="shared" ca="1" si="9"/>
        <v>0</v>
      </c>
      <c r="R54" s="83">
        <f t="shared" ca="1" si="9"/>
        <v>0</v>
      </c>
      <c r="S54" s="83">
        <f t="shared" ca="1" si="9"/>
        <v>0</v>
      </c>
      <c r="T54" s="83">
        <f t="shared" ca="1" si="9"/>
        <v>0</v>
      </c>
      <c r="U54" s="83">
        <f t="shared" ca="1" si="9"/>
        <v>0</v>
      </c>
      <c r="V54" s="83">
        <f t="shared" ca="1" si="9"/>
        <v>0</v>
      </c>
      <c r="W54" s="83">
        <f t="shared" ca="1" si="9"/>
        <v>0</v>
      </c>
    </row>
    <row r="56" spans="2:23" x14ac:dyDescent="0.2">
      <c r="B56" s="2" t="s">
        <v>278</v>
      </c>
      <c r="D56" s="83">
        <f>+'Total Revenue &amp; Costs'!D41</f>
        <v>0</v>
      </c>
      <c r="E56" s="83">
        <f>+'Total Revenue &amp; Costs'!E41-'Total Revenue &amp; Costs'!D41</f>
        <v>0</v>
      </c>
      <c r="F56" s="83">
        <f>+'Total Revenue &amp; Costs'!F41-'Total Revenue &amp; Costs'!E41</f>
        <v>0</v>
      </c>
      <c r="G56" s="83">
        <f>+'Total Revenue &amp; Costs'!G41-'Total Revenue &amp; Costs'!F41</f>
        <v>0</v>
      </c>
      <c r="H56" s="83">
        <f>+'Total Revenue &amp; Costs'!H41-'Total Revenue &amp; Costs'!G41</f>
        <v>0</v>
      </c>
      <c r="I56" s="83">
        <f>+'Total Revenue &amp; Costs'!I41-'Total Revenue &amp; Costs'!H41</f>
        <v>0</v>
      </c>
      <c r="J56" s="83">
        <f>+'Total Revenue &amp; Costs'!J41-'Total Revenue &amp; Costs'!I41</f>
        <v>0</v>
      </c>
      <c r="K56" s="83">
        <f>+'Total Revenue &amp; Costs'!K41-'Total Revenue &amp; Costs'!J41</f>
        <v>0</v>
      </c>
      <c r="L56" s="83">
        <f>+'Total Revenue &amp; Costs'!L41-'Total Revenue &amp; Costs'!K41</f>
        <v>0</v>
      </c>
      <c r="M56" s="83">
        <f>+'Total Revenue &amp; Costs'!M41-'Total Revenue &amp; Costs'!L41</f>
        <v>0</v>
      </c>
      <c r="N56" s="83">
        <f>+'Total Revenue &amp; Costs'!N41-'Total Revenue &amp; Costs'!M41</f>
        <v>0</v>
      </c>
      <c r="O56" s="83">
        <f>+'Total Revenue &amp; Costs'!O41-'Total Revenue &amp; Costs'!N41</f>
        <v>0</v>
      </c>
      <c r="P56" s="83">
        <f>+'Total Revenue &amp; Costs'!P41-'Total Revenue &amp; Costs'!O41</f>
        <v>0</v>
      </c>
      <c r="Q56" s="83">
        <f>+'Total Revenue &amp; Costs'!Q41-'Total Revenue &amp; Costs'!P41</f>
        <v>0</v>
      </c>
      <c r="R56" s="83">
        <f>+'Total Revenue &amp; Costs'!R41-'Total Revenue &amp; Costs'!Q41</f>
        <v>0</v>
      </c>
      <c r="S56" s="83">
        <f>+'Total Revenue &amp; Costs'!S41-'Total Revenue &amp; Costs'!R41</f>
        <v>0</v>
      </c>
      <c r="T56" s="83">
        <f>+'Total Revenue &amp; Costs'!T41-'Total Revenue &amp; Costs'!S41</f>
        <v>0</v>
      </c>
      <c r="U56" s="83">
        <f>+'Total Revenue &amp; Costs'!U41-'Total Revenue &amp; Costs'!T41</f>
        <v>0</v>
      </c>
      <c r="V56" s="83">
        <f>+'Total Revenue &amp; Costs'!V41-'Total Revenue &amp; Costs'!U41</f>
        <v>0</v>
      </c>
      <c r="W56" s="83">
        <f>+'Total Revenue &amp; Costs'!W41-'Total Revenue &amp; Costs'!V41</f>
        <v>0</v>
      </c>
    </row>
    <row r="57" spans="2:23" x14ac:dyDescent="0.2">
      <c r="B57" s="2" t="s">
        <v>279</v>
      </c>
    </row>
    <row r="59" spans="2:23" x14ac:dyDescent="0.2">
      <c r="B59" s="38" t="s">
        <v>280</v>
      </c>
      <c r="D59" s="83">
        <f>SUM(D56:D57)</f>
        <v>0</v>
      </c>
      <c r="E59" s="83">
        <f>SUM(E56:E57)</f>
        <v>0</v>
      </c>
      <c r="F59" s="83">
        <f t="shared" ref="F59:W59" si="10">SUM(F56:F57)</f>
        <v>0</v>
      </c>
      <c r="G59" s="83">
        <f t="shared" si="10"/>
        <v>0</v>
      </c>
      <c r="H59" s="83">
        <f t="shared" si="10"/>
        <v>0</v>
      </c>
      <c r="I59" s="83">
        <f t="shared" si="10"/>
        <v>0</v>
      </c>
      <c r="J59" s="83">
        <f t="shared" si="10"/>
        <v>0</v>
      </c>
      <c r="K59" s="83">
        <f t="shared" si="10"/>
        <v>0</v>
      </c>
      <c r="L59" s="83">
        <f t="shared" si="10"/>
        <v>0</v>
      </c>
      <c r="M59" s="83">
        <f t="shared" si="10"/>
        <v>0</v>
      </c>
      <c r="N59" s="83">
        <f t="shared" si="10"/>
        <v>0</v>
      </c>
      <c r="O59" s="83">
        <f t="shared" si="10"/>
        <v>0</v>
      </c>
      <c r="P59" s="83">
        <f t="shared" si="10"/>
        <v>0</v>
      </c>
      <c r="Q59" s="83">
        <f t="shared" si="10"/>
        <v>0</v>
      </c>
      <c r="R59" s="83">
        <f t="shared" si="10"/>
        <v>0</v>
      </c>
      <c r="S59" s="83">
        <f t="shared" si="10"/>
        <v>0</v>
      </c>
      <c r="T59" s="83">
        <f t="shared" si="10"/>
        <v>0</v>
      </c>
      <c r="U59" s="83">
        <f t="shared" si="10"/>
        <v>0</v>
      </c>
      <c r="V59" s="83">
        <f t="shared" si="10"/>
        <v>0</v>
      </c>
      <c r="W59" s="83">
        <f t="shared" si="10"/>
        <v>0</v>
      </c>
    </row>
    <row r="60" spans="2:23" x14ac:dyDescent="0.2">
      <c r="B60" s="38"/>
    </row>
    <row r="61" spans="2:23" x14ac:dyDescent="0.2">
      <c r="B61" s="41" t="s">
        <v>281</v>
      </c>
      <c r="C61" s="41"/>
      <c r="D61" s="42">
        <f>+D54+D59</f>
        <v>0</v>
      </c>
      <c r="E61" s="42">
        <f t="shared" ref="E61:W61" si="11">+E54+E59</f>
        <v>0</v>
      </c>
      <c r="F61" s="42">
        <f t="shared" ca="1" si="11"/>
        <v>0</v>
      </c>
      <c r="G61" s="42">
        <f t="shared" ca="1" si="11"/>
        <v>0</v>
      </c>
      <c r="H61" s="42">
        <f t="shared" ca="1" si="11"/>
        <v>0</v>
      </c>
      <c r="I61" s="42">
        <f t="shared" ca="1" si="11"/>
        <v>0</v>
      </c>
      <c r="J61" s="42">
        <f t="shared" ca="1" si="11"/>
        <v>0</v>
      </c>
      <c r="K61" s="42">
        <f t="shared" ca="1" si="11"/>
        <v>0</v>
      </c>
      <c r="L61" s="42">
        <f t="shared" ca="1" si="11"/>
        <v>0</v>
      </c>
      <c r="M61" s="42">
        <f t="shared" ca="1" si="11"/>
        <v>0</v>
      </c>
      <c r="N61" s="42">
        <f t="shared" ca="1" si="11"/>
        <v>0</v>
      </c>
      <c r="O61" s="42">
        <f t="shared" ca="1" si="11"/>
        <v>0</v>
      </c>
      <c r="P61" s="42">
        <f t="shared" ca="1" si="11"/>
        <v>0</v>
      </c>
      <c r="Q61" s="42">
        <f t="shared" ca="1" si="11"/>
        <v>0</v>
      </c>
      <c r="R61" s="42">
        <f t="shared" ca="1" si="11"/>
        <v>0</v>
      </c>
      <c r="S61" s="42">
        <f t="shared" ca="1" si="11"/>
        <v>0</v>
      </c>
      <c r="T61" s="42">
        <f t="shared" ca="1" si="11"/>
        <v>0</v>
      </c>
      <c r="U61" s="42">
        <f t="shared" ca="1" si="11"/>
        <v>0</v>
      </c>
      <c r="V61" s="42">
        <f t="shared" ca="1" si="11"/>
        <v>0</v>
      </c>
      <c r="W61" s="42">
        <f t="shared" ca="1" si="11"/>
        <v>0</v>
      </c>
    </row>
    <row r="63" spans="2:23" x14ac:dyDescent="0.2">
      <c r="D63" s="83"/>
      <c r="E63" s="83"/>
      <c r="F63" s="83"/>
      <c r="G63" s="83"/>
      <c r="H63" s="83"/>
      <c r="I63" s="83"/>
      <c r="J63" s="8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Assumptions &amp; Costs</vt:lpstr>
      <vt:lpstr>Nursery</vt:lpstr>
      <vt:lpstr>Inputs Field</vt:lpstr>
      <vt:lpstr>Inputs General</vt:lpstr>
      <vt:lpstr>Summary</vt:lpstr>
      <vt:lpstr>KPI</vt:lpstr>
      <vt:lpstr>ROI</vt:lpstr>
      <vt:lpstr>BS</vt:lpstr>
      <vt:lpstr>CF &amp; WC</vt:lpstr>
      <vt:lpstr>P&amp;L</vt:lpstr>
      <vt:lpstr>Total Revenue &amp; Costs</vt:lpstr>
      <vt:lpstr>Field Ops</vt:lpstr>
      <vt:lpstr>Finance</vt:lpstr>
      <vt:lpstr>BS (500Ha)</vt:lpstr>
      <vt:lpstr>CF &amp; WC (500Ha)</vt:lpstr>
      <vt:lpstr>P&amp;L (500Ha)</vt:lpstr>
      <vt:lpstr>Total Revenue &amp; Costs (500Ha)</vt:lpstr>
      <vt:lpstr>Field Ops (500Ha)</vt:lpstr>
      <vt:lpstr>Finance (500Ha)</vt:lpstr>
      <vt:lpstr>Charts</vt:lpstr>
      <vt:lpstr>Discount_Rate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Kelvin</cp:lastModifiedBy>
  <dcterms:created xsi:type="dcterms:W3CDTF">2016-03-03T09:01:02Z</dcterms:created>
  <dcterms:modified xsi:type="dcterms:W3CDTF">2016-08-09T11:35:14Z</dcterms:modified>
</cp:coreProperties>
</file>